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465" windowWidth="14805" windowHeight="7650" tabRatio="599"/>
  </bookViews>
  <sheets>
    <sheet name="лось" sheetId="4" r:id="rId1"/>
  </sheets>
  <calcPr calcId="145621"/>
</workbook>
</file>

<file path=xl/calcChain.xml><?xml version="1.0" encoding="utf-8"?>
<calcChain xmlns="http://schemas.openxmlformats.org/spreadsheetml/2006/main">
  <c r="X130" i="4" l="1"/>
  <c r="W130" i="4"/>
  <c r="V130" i="4"/>
  <c r="X129" i="4"/>
  <c r="W129" i="4"/>
  <c r="V129" i="4"/>
  <c r="M129" i="4"/>
  <c r="X114" i="4"/>
  <c r="W114" i="4"/>
  <c r="V114" i="4"/>
  <c r="X109" i="4" l="1"/>
  <c r="W109" i="4"/>
  <c r="V109" i="4"/>
  <c r="X105" i="4"/>
  <c r="W105" i="4"/>
  <c r="V105" i="4"/>
  <c r="X100" i="4"/>
  <c r="W100" i="4"/>
  <c r="V100" i="4"/>
  <c r="V89" i="4"/>
  <c r="X89" i="4"/>
  <c r="W89" i="4"/>
  <c r="X82" i="4"/>
  <c r="W82" i="4"/>
  <c r="V82" i="4"/>
  <c r="M82" i="4"/>
  <c r="X72" i="4"/>
  <c r="W72" i="4"/>
  <c r="V72" i="4"/>
  <c r="M72" i="4"/>
  <c r="X64" i="4"/>
  <c r="W64" i="4"/>
  <c r="V64" i="4"/>
  <c r="X57" i="4"/>
  <c r="W57" i="4"/>
  <c r="V57" i="4"/>
  <c r="X50" i="4"/>
  <c r="W50" i="4"/>
  <c r="V50" i="4"/>
  <c r="W45" i="4"/>
  <c r="X45" i="4"/>
  <c r="V45" i="4"/>
  <c r="X39" i="4"/>
  <c r="W39" i="4"/>
  <c r="V39" i="4"/>
  <c r="X36" i="4"/>
  <c r="W36" i="4"/>
  <c r="V36" i="4"/>
  <c r="X29" i="4"/>
  <c r="W29" i="4"/>
  <c r="V29" i="4"/>
  <c r="X26" i="4"/>
  <c r="W26" i="4"/>
  <c r="V26" i="4"/>
  <c r="M26" i="4"/>
  <c r="X20" i="4"/>
  <c r="W20" i="4"/>
  <c r="V20" i="4"/>
  <c r="M20" i="4"/>
  <c r="L112" i="4" l="1"/>
  <c r="K112" i="4"/>
  <c r="H113" i="4"/>
  <c r="E113" i="4"/>
  <c r="Q100" i="4" l="1"/>
  <c r="P100" i="4"/>
  <c r="O100" i="4"/>
  <c r="M100" i="4"/>
  <c r="L100" i="4" s="1"/>
  <c r="K100" i="4"/>
  <c r="J100" i="4"/>
  <c r="I100" i="4"/>
  <c r="H99" i="4"/>
  <c r="L99" i="4" s="1"/>
  <c r="G99" i="4"/>
  <c r="F99" i="4"/>
  <c r="E99" i="4"/>
  <c r="D99" i="4"/>
  <c r="C99" i="4"/>
  <c r="L98" i="4"/>
  <c r="K98" i="4"/>
  <c r="J98" i="4"/>
  <c r="I98" i="4"/>
  <c r="L97" i="4"/>
  <c r="K97" i="4"/>
  <c r="J97" i="4"/>
  <c r="I97" i="4"/>
  <c r="L96" i="4"/>
  <c r="K96" i="4"/>
  <c r="J96" i="4"/>
  <c r="I96" i="4"/>
  <c r="L95" i="4"/>
  <c r="K95" i="4"/>
  <c r="J95" i="4"/>
  <c r="I95" i="4"/>
  <c r="L94" i="4"/>
  <c r="K94" i="4"/>
  <c r="J94" i="4"/>
  <c r="I94" i="4"/>
  <c r="L93" i="4"/>
  <c r="K93" i="4"/>
  <c r="J93" i="4"/>
  <c r="I93" i="4"/>
  <c r="L92" i="4"/>
  <c r="K92" i="4"/>
  <c r="J92" i="4"/>
  <c r="I92" i="4"/>
  <c r="L91" i="4"/>
  <c r="K91" i="4"/>
  <c r="J91" i="4"/>
  <c r="I91" i="4"/>
  <c r="J99" i="4" l="1"/>
  <c r="R100" i="4"/>
  <c r="I99" i="4"/>
  <c r="K99" i="4"/>
  <c r="K124" i="4" l="1"/>
  <c r="K123" i="4"/>
  <c r="I17" i="4" l="1"/>
  <c r="J17" i="4"/>
  <c r="K17" i="4"/>
  <c r="L17" i="4"/>
  <c r="I18" i="4"/>
  <c r="J18" i="4"/>
  <c r="K18" i="4"/>
  <c r="L18" i="4"/>
  <c r="E19" i="4"/>
  <c r="H19" i="4"/>
  <c r="I19" i="4"/>
  <c r="J19" i="4"/>
  <c r="K19" i="4"/>
  <c r="L19" i="4"/>
  <c r="C20" i="4"/>
  <c r="I20" i="4" s="1"/>
  <c r="F20" i="4"/>
  <c r="G20" i="4"/>
  <c r="J20" i="4" s="1"/>
  <c r="K20" i="4"/>
  <c r="O20" i="4"/>
  <c r="P20" i="4"/>
  <c r="Q20" i="4"/>
  <c r="I22" i="4"/>
  <c r="J22" i="4"/>
  <c r="K22" i="4"/>
  <c r="L22" i="4"/>
  <c r="K23" i="4"/>
  <c r="L23" i="4"/>
  <c r="K24" i="4"/>
  <c r="L24" i="4"/>
  <c r="E25" i="4"/>
  <c r="H25" i="4"/>
  <c r="L25" i="4" s="1"/>
  <c r="I25" i="4"/>
  <c r="J25" i="4"/>
  <c r="C26" i="4"/>
  <c r="D26" i="4"/>
  <c r="I26" i="4"/>
  <c r="J26" i="4"/>
  <c r="K26" i="4"/>
  <c r="L26" i="4"/>
  <c r="O26" i="4"/>
  <c r="P26" i="4"/>
  <c r="Q26" i="4"/>
  <c r="C28" i="4"/>
  <c r="D28" i="4"/>
  <c r="E28" i="4"/>
  <c r="F28" i="4"/>
  <c r="G28" i="4"/>
  <c r="H28" i="4"/>
  <c r="I29" i="4"/>
  <c r="J29" i="4"/>
  <c r="K29" i="4"/>
  <c r="M29" i="4"/>
  <c r="L29" i="4" s="1"/>
  <c r="O29" i="4"/>
  <c r="P29" i="4"/>
  <c r="Q29" i="4"/>
  <c r="I31" i="4"/>
  <c r="J31" i="4"/>
  <c r="K31" i="4"/>
  <c r="L31" i="4"/>
  <c r="I32" i="4"/>
  <c r="J32" i="4"/>
  <c r="K32" i="4"/>
  <c r="L32" i="4"/>
  <c r="I33" i="4"/>
  <c r="J33" i="4"/>
  <c r="K33" i="4"/>
  <c r="I34" i="4"/>
  <c r="J34" i="4"/>
  <c r="K34" i="4"/>
  <c r="L34" i="4"/>
  <c r="C35" i="4"/>
  <c r="D35" i="4"/>
  <c r="J35" i="4" s="1"/>
  <c r="E35" i="4"/>
  <c r="F35" i="4"/>
  <c r="H35" i="4"/>
  <c r="K35" i="4" s="1"/>
  <c r="I36" i="4"/>
  <c r="J36" i="4"/>
  <c r="K36" i="4"/>
  <c r="M36" i="4"/>
  <c r="L36" i="4" s="1"/>
  <c r="O36" i="4"/>
  <c r="P36" i="4"/>
  <c r="Q36" i="4"/>
  <c r="F38" i="4"/>
  <c r="G38" i="4"/>
  <c r="I38" i="4"/>
  <c r="J38" i="4"/>
  <c r="K38" i="4"/>
  <c r="L38" i="4"/>
  <c r="C39" i="4"/>
  <c r="I39" i="4" s="1"/>
  <c r="D39" i="4"/>
  <c r="J39" i="4" s="1"/>
  <c r="E39" i="4"/>
  <c r="K39" i="4" s="1"/>
  <c r="M39" i="4"/>
  <c r="L39" i="4" s="1"/>
  <c r="O39" i="4"/>
  <c r="P39" i="4"/>
  <c r="Q39" i="4"/>
  <c r="I41" i="4"/>
  <c r="J41" i="4"/>
  <c r="K41" i="4"/>
  <c r="L41" i="4"/>
  <c r="I42" i="4"/>
  <c r="J42" i="4"/>
  <c r="K42" i="4"/>
  <c r="L42" i="4"/>
  <c r="I43" i="4"/>
  <c r="J43" i="4"/>
  <c r="K43" i="4"/>
  <c r="L43" i="4"/>
  <c r="D44" i="4"/>
  <c r="E44" i="4"/>
  <c r="H44" i="4"/>
  <c r="I44" i="4"/>
  <c r="J44" i="4"/>
  <c r="F45" i="4"/>
  <c r="G45" i="4"/>
  <c r="I45" i="4"/>
  <c r="J45" i="4"/>
  <c r="K45" i="4"/>
  <c r="O45" i="4"/>
  <c r="P45" i="4"/>
  <c r="Q45" i="4"/>
  <c r="I47" i="4"/>
  <c r="J47" i="4"/>
  <c r="K47" i="4"/>
  <c r="M47" i="4"/>
  <c r="I48" i="4"/>
  <c r="J48" i="4"/>
  <c r="K48" i="4"/>
  <c r="M48" i="4"/>
  <c r="M50" i="4" s="1"/>
  <c r="L50" i="4" s="1"/>
  <c r="C49" i="4"/>
  <c r="D49" i="4"/>
  <c r="E49" i="4"/>
  <c r="F49" i="4"/>
  <c r="G49" i="4"/>
  <c r="H49" i="4"/>
  <c r="I50" i="4"/>
  <c r="J50" i="4"/>
  <c r="K50" i="4"/>
  <c r="O50" i="4"/>
  <c r="P50" i="4"/>
  <c r="Q50" i="4"/>
  <c r="I52" i="4"/>
  <c r="J52" i="4"/>
  <c r="K52" i="4"/>
  <c r="L52" i="4"/>
  <c r="I53" i="4"/>
  <c r="J53" i="4"/>
  <c r="K53" i="4"/>
  <c r="L53" i="4"/>
  <c r="I54" i="4"/>
  <c r="J54" i="4"/>
  <c r="K54" i="4"/>
  <c r="L54" i="4"/>
  <c r="I55" i="4"/>
  <c r="J55" i="4"/>
  <c r="K55" i="4"/>
  <c r="L55" i="4"/>
  <c r="E56" i="4"/>
  <c r="F56" i="4"/>
  <c r="I56" i="4" s="1"/>
  <c r="G56" i="4"/>
  <c r="J56" i="4" s="1"/>
  <c r="H56" i="4"/>
  <c r="L56" i="4" s="1"/>
  <c r="C57" i="4"/>
  <c r="D57" i="4"/>
  <c r="I57" i="4"/>
  <c r="J57" i="4"/>
  <c r="K57" i="4"/>
  <c r="M57" i="4"/>
  <c r="L57" i="4" s="1"/>
  <c r="O57" i="4"/>
  <c r="P57" i="4"/>
  <c r="Q57" i="4"/>
  <c r="I59" i="4"/>
  <c r="J59" i="4"/>
  <c r="K59" i="4"/>
  <c r="L59" i="4"/>
  <c r="I60" i="4"/>
  <c r="J60" i="4"/>
  <c r="K60" i="4"/>
  <c r="L60" i="4"/>
  <c r="I61" i="4"/>
  <c r="J61" i="4"/>
  <c r="K61" i="4"/>
  <c r="L61" i="4"/>
  <c r="I62" i="4"/>
  <c r="J62" i="4"/>
  <c r="K62" i="4"/>
  <c r="L62" i="4"/>
  <c r="E63" i="4"/>
  <c r="G63" i="4"/>
  <c r="J63" i="4" s="1"/>
  <c r="H63" i="4"/>
  <c r="K63" i="4" s="1"/>
  <c r="I63" i="4"/>
  <c r="C64" i="4"/>
  <c r="D64" i="4"/>
  <c r="F64" i="4"/>
  <c r="I64" i="4" s="1"/>
  <c r="J64" i="4"/>
  <c r="K64" i="4"/>
  <c r="M64" i="4"/>
  <c r="L64" i="4" s="1"/>
  <c r="O64" i="4"/>
  <c r="P64" i="4"/>
  <c r="Q64" i="4"/>
  <c r="I66" i="4"/>
  <c r="J66" i="4"/>
  <c r="K66" i="4"/>
  <c r="L66" i="4"/>
  <c r="I67" i="4"/>
  <c r="J67" i="4"/>
  <c r="K67" i="4"/>
  <c r="L67" i="4"/>
  <c r="K68" i="4"/>
  <c r="L68" i="4"/>
  <c r="I69" i="4"/>
  <c r="J69" i="4"/>
  <c r="K69" i="4"/>
  <c r="L69" i="4"/>
  <c r="I70" i="4"/>
  <c r="J70" i="4"/>
  <c r="K70" i="4"/>
  <c r="L70" i="4"/>
  <c r="E71" i="4"/>
  <c r="K71" i="4" s="1"/>
  <c r="F71" i="4"/>
  <c r="I71" i="4" s="1"/>
  <c r="G71" i="4"/>
  <c r="J71" i="4" s="1"/>
  <c r="L71" i="4"/>
  <c r="C72" i="4"/>
  <c r="I72" i="4" s="1"/>
  <c r="D72" i="4"/>
  <c r="J72" i="4" s="1"/>
  <c r="K72" i="4"/>
  <c r="L72" i="4"/>
  <c r="O72" i="4"/>
  <c r="P72" i="4"/>
  <c r="Q72" i="4"/>
  <c r="I74" i="4"/>
  <c r="J74" i="4"/>
  <c r="K74" i="4"/>
  <c r="L74" i="4"/>
  <c r="I75" i="4"/>
  <c r="J75" i="4"/>
  <c r="K75" i="4"/>
  <c r="L75" i="4"/>
  <c r="I76" i="4"/>
  <c r="J76" i="4"/>
  <c r="K76" i="4"/>
  <c r="L76" i="4"/>
  <c r="I77" i="4"/>
  <c r="J77" i="4"/>
  <c r="K77" i="4"/>
  <c r="L77" i="4"/>
  <c r="I78" i="4"/>
  <c r="J78" i="4"/>
  <c r="K78" i="4"/>
  <c r="L78" i="4"/>
  <c r="I79" i="4"/>
  <c r="J79" i="4"/>
  <c r="K79" i="4"/>
  <c r="L79" i="4"/>
  <c r="I80" i="4"/>
  <c r="J80" i="4"/>
  <c r="K80" i="4"/>
  <c r="L80" i="4"/>
  <c r="C81" i="4"/>
  <c r="D81" i="4"/>
  <c r="E81" i="4"/>
  <c r="F81" i="4"/>
  <c r="G81" i="4"/>
  <c r="H81" i="4"/>
  <c r="L81" i="4" s="1"/>
  <c r="I82" i="4"/>
  <c r="J82" i="4"/>
  <c r="K82" i="4"/>
  <c r="L82" i="4"/>
  <c r="O82" i="4"/>
  <c r="P82" i="4"/>
  <c r="Q82" i="4"/>
  <c r="I84" i="4"/>
  <c r="J84" i="4"/>
  <c r="K84" i="4"/>
  <c r="L84" i="4"/>
  <c r="I85" i="4"/>
  <c r="J85" i="4"/>
  <c r="K85" i="4"/>
  <c r="L85" i="4"/>
  <c r="I86" i="4"/>
  <c r="J86" i="4"/>
  <c r="K86" i="4"/>
  <c r="L86" i="4"/>
  <c r="I87" i="4"/>
  <c r="J87" i="4"/>
  <c r="K87" i="4"/>
  <c r="L87" i="4"/>
  <c r="D88" i="4"/>
  <c r="E88" i="4"/>
  <c r="F88" i="4"/>
  <c r="I88" i="4" s="1"/>
  <c r="G88" i="4"/>
  <c r="H88" i="4"/>
  <c r="L88" i="4" s="1"/>
  <c r="C89" i="4"/>
  <c r="I89" i="4" s="1"/>
  <c r="J89" i="4"/>
  <c r="K89" i="4"/>
  <c r="M89" i="4"/>
  <c r="L89" i="4" s="1"/>
  <c r="O89" i="4"/>
  <c r="P89" i="4"/>
  <c r="Q89" i="4"/>
  <c r="I102" i="4"/>
  <c r="J102" i="4"/>
  <c r="K102" i="4"/>
  <c r="L102" i="4"/>
  <c r="I103" i="4"/>
  <c r="J103" i="4"/>
  <c r="K103" i="4"/>
  <c r="L103" i="4"/>
  <c r="C104" i="4"/>
  <c r="D104" i="4"/>
  <c r="E104" i="4"/>
  <c r="F104" i="4"/>
  <c r="G104" i="4"/>
  <c r="H104" i="4"/>
  <c r="L104" i="4" s="1"/>
  <c r="I105" i="4"/>
  <c r="J105" i="4"/>
  <c r="K105" i="4"/>
  <c r="M105" i="4"/>
  <c r="L105" i="4" s="1"/>
  <c r="O105" i="4"/>
  <c r="P105" i="4"/>
  <c r="Q105" i="4"/>
  <c r="I107" i="4"/>
  <c r="J107" i="4"/>
  <c r="K107" i="4"/>
  <c r="L107" i="4"/>
  <c r="C108" i="4"/>
  <c r="D108" i="4"/>
  <c r="E108" i="4"/>
  <c r="F108" i="4"/>
  <c r="G108" i="4"/>
  <c r="H108" i="4"/>
  <c r="I109" i="4"/>
  <c r="J109" i="4"/>
  <c r="K109" i="4"/>
  <c r="M109" i="4"/>
  <c r="L109" i="4" s="1"/>
  <c r="O109" i="4"/>
  <c r="P109" i="4"/>
  <c r="Q109" i="4"/>
  <c r="I111" i="4"/>
  <c r="J111" i="4"/>
  <c r="K111" i="4"/>
  <c r="L111" i="4"/>
  <c r="C113" i="4"/>
  <c r="D113" i="4"/>
  <c r="F113" i="4"/>
  <c r="I113" i="4" s="1"/>
  <c r="G113" i="4"/>
  <c r="K113" i="4"/>
  <c r="L113" i="4"/>
  <c r="I114" i="4"/>
  <c r="J114" i="4"/>
  <c r="K114" i="4"/>
  <c r="M114" i="4"/>
  <c r="L114" i="4" s="1"/>
  <c r="O114" i="4"/>
  <c r="P114" i="4"/>
  <c r="Q114" i="4"/>
  <c r="I116" i="4"/>
  <c r="J116" i="4"/>
  <c r="K116" i="4"/>
  <c r="L116" i="4"/>
  <c r="I117" i="4"/>
  <c r="J117" i="4"/>
  <c r="K117" i="4"/>
  <c r="L117" i="4"/>
  <c r="I118" i="4"/>
  <c r="J118" i="4"/>
  <c r="K118" i="4"/>
  <c r="L118" i="4"/>
  <c r="I119" i="4"/>
  <c r="J119" i="4"/>
  <c r="K119" i="4"/>
  <c r="L119" i="4"/>
  <c r="I120" i="4"/>
  <c r="J120" i="4"/>
  <c r="K120" i="4"/>
  <c r="L120" i="4"/>
  <c r="I121" i="4"/>
  <c r="J121" i="4"/>
  <c r="K121" i="4"/>
  <c r="L121" i="4"/>
  <c r="I122" i="4"/>
  <c r="J122" i="4"/>
  <c r="K122" i="4"/>
  <c r="L122" i="4"/>
  <c r="J123" i="4"/>
  <c r="L123" i="4"/>
  <c r="L124" i="4"/>
  <c r="I125" i="4"/>
  <c r="J125" i="4"/>
  <c r="K125" i="4"/>
  <c r="L125" i="4"/>
  <c r="I126" i="4"/>
  <c r="J126" i="4"/>
  <c r="K126" i="4"/>
  <c r="L126" i="4"/>
  <c r="J127" i="4"/>
  <c r="K127" i="4"/>
  <c r="L127" i="4"/>
  <c r="C128" i="4"/>
  <c r="D128" i="4"/>
  <c r="F128" i="4"/>
  <c r="G128" i="4"/>
  <c r="H128" i="4"/>
  <c r="K128" i="4" s="1"/>
  <c r="I129" i="4"/>
  <c r="J129" i="4"/>
  <c r="K129" i="4"/>
  <c r="L129" i="4"/>
  <c r="O129" i="4"/>
  <c r="P129" i="4"/>
  <c r="Q129" i="4"/>
  <c r="E130" i="4"/>
  <c r="F130" i="4"/>
  <c r="H130" i="4"/>
  <c r="J130" i="4"/>
  <c r="P130" i="4"/>
  <c r="J113" i="4" l="1"/>
  <c r="I35" i="4"/>
  <c r="I128" i="4"/>
  <c r="I104" i="4"/>
  <c r="L20" i="4"/>
  <c r="K130" i="4"/>
  <c r="J128" i="4"/>
  <c r="I49" i="4"/>
  <c r="K108" i="4"/>
  <c r="I108" i="4"/>
  <c r="J108" i="4"/>
  <c r="J88" i="4"/>
  <c r="K88" i="4"/>
  <c r="K56" i="4"/>
  <c r="L35" i="4"/>
  <c r="K81" i="4"/>
  <c r="I81" i="4"/>
  <c r="J81" i="4"/>
  <c r="J49" i="4"/>
  <c r="K49" i="4"/>
  <c r="K44" i="4"/>
  <c r="K28" i="4"/>
  <c r="I28" i="4"/>
  <c r="J28" i="4"/>
  <c r="L108" i="4"/>
  <c r="J104" i="4"/>
  <c r="R129" i="4"/>
  <c r="K104" i="4"/>
  <c r="C130" i="4"/>
  <c r="I130" i="4" s="1"/>
  <c r="Q130" i="4"/>
  <c r="O130" i="4"/>
  <c r="L28" i="4"/>
  <c r="K25" i="4"/>
  <c r="L128" i="4"/>
  <c r="R114" i="4"/>
  <c r="L63" i="4"/>
  <c r="R109" i="4"/>
  <c r="R130" i="4" l="1"/>
  <c r="L44" i="4"/>
  <c r="M45" i="4"/>
  <c r="M130" i="4" s="1"/>
  <c r="L45" i="4" l="1"/>
  <c r="L130" i="4"/>
  <c r="T32" i="4" l="1"/>
</calcChain>
</file>

<file path=xl/sharedStrings.xml><?xml version="1.0" encoding="utf-8"?>
<sst xmlns="http://schemas.openxmlformats.org/spreadsheetml/2006/main" count="233" uniqueCount="117">
  <si>
    <t xml:space="preserve">1. </t>
  </si>
  <si>
    <t xml:space="preserve">2. </t>
  </si>
  <si>
    <t xml:space="preserve">3. </t>
  </si>
  <si>
    <t xml:space="preserve">4. </t>
  </si>
  <si>
    <t xml:space="preserve">5. </t>
  </si>
  <si>
    <t xml:space="preserve">6. </t>
  </si>
  <si>
    <t xml:space="preserve">7. </t>
  </si>
  <si>
    <t>10.</t>
  </si>
  <si>
    <t xml:space="preserve"> Наименование  охотничьего угодья</t>
  </si>
  <si>
    <t xml:space="preserve">Общедоступные охотничьи  угодья </t>
  </si>
  <si>
    <t>Охотничье угодье Карельской региональной общественной организации охотников и рыболовов</t>
  </si>
  <si>
    <t xml:space="preserve">Общедоступные охотничьи угодья </t>
  </si>
  <si>
    <t>Охотничье угодье Пудожского отделения Карельской региональной общественной организации охотников и рыболовов</t>
  </si>
  <si>
    <t xml:space="preserve">Охотничье угодье  индивидуального предпринимателя Марусевича Владимира Николаевича            </t>
  </si>
  <si>
    <t>Общедоступные охотничьи угодья</t>
  </si>
  <si>
    <t xml:space="preserve">Всего по Республике Карелия </t>
  </si>
  <si>
    <t xml:space="preserve">Охотничье угодье общества с ограниченной ответственностью «Беломорское»              </t>
  </si>
  <si>
    <t xml:space="preserve">Охотничье угодье местной общественной организации «Кондопожское районное  общество охотников и рыболовов»              </t>
  </si>
  <si>
    <t xml:space="preserve">Охотничье угодье открытого акционерного общества «Кондопога»            </t>
  </si>
  <si>
    <t xml:space="preserve">Охотничье угодье некоммерческого партнерства  по охране, воспроизводству  и рациональному использованию животного  мира «Святобор»                </t>
  </si>
  <si>
    <t xml:space="preserve">Охотничье угодье общества с ограниченной ответственностью «Перегрин»                         </t>
  </si>
  <si>
    <t xml:space="preserve">Охотничье угодье общества с ограниченной ответственностью «Охота и рыбалка в Карелии»                         </t>
  </si>
  <si>
    <t xml:space="preserve">Охотничье угодье Карельского регионального  общественно-государственного  объединения физкультурно-спортивного общества «Динамо»                          </t>
  </si>
  <si>
    <t xml:space="preserve">Охотничье угодье общества с ограниченной ответственностью  «ТАУНТА»  </t>
  </si>
  <si>
    <t xml:space="preserve">Охотничье угодье общества с ограниченной ответственностью «Спортивный охотничий клуб»    </t>
  </si>
  <si>
    <t xml:space="preserve">Охотничье угодье некоммерческого партнерства «Клуб охотников Карелии»            </t>
  </si>
  <si>
    <t xml:space="preserve">Охотничье угодье общества с ограниченной ответственностью «Производственно-торговое объединение «Питкяранта»   </t>
  </si>
  <si>
    <t xml:space="preserve">Охотничье угодье общества с ограниченной ответственностью «Норт»  </t>
  </si>
  <si>
    <t xml:space="preserve">Охотничье угодье общества с ограниченной ответственностью «Орион-Тур»  </t>
  </si>
  <si>
    <t xml:space="preserve">Охотничье угодье общества с ограниченной ответственностью «Гранитная Гора»   </t>
  </si>
  <si>
    <t xml:space="preserve">Охотничье угодье общества с ограниченной ответственностью «Медведь»     </t>
  </si>
  <si>
    <t xml:space="preserve">Охотничье угодье Карельской региональной общественной организации «Военное общество охотников и рыболовов Петрозаводского гарнизона»  </t>
  </si>
  <si>
    <t xml:space="preserve">Охотничье угодье общества с ограниченной ответственностью «Север-Тур»     </t>
  </si>
  <si>
    <t xml:space="preserve">Охотничье угодье общества с ограниченной ответственностью «Фауна»     </t>
  </si>
  <si>
    <t xml:space="preserve">Охотничье угодье Карельского регионального  общественно-государственного  объединения физкультурно-спортивного общества «Динамо»                         </t>
  </si>
  <si>
    <t xml:space="preserve">Охотничье угодье закрытого акционерного общества «Шуялес»  </t>
  </si>
  <si>
    <t xml:space="preserve">Охотничье угодье местной общественной организации «Суоярвское  районное  общество охотников и рыболовов»    </t>
  </si>
  <si>
    <t xml:space="preserve">Охотничье угодье закрытого акционерного общества «ЕВРО-ВОЛГА»  </t>
  </si>
  <si>
    <t xml:space="preserve">Охотничье угодье общества с ограниченной ответственностью «Медведь»  </t>
  </si>
  <si>
    <t xml:space="preserve">Охотничье угодье общества с ограниченной ответственностью «Соанлахти»   </t>
  </si>
  <si>
    <t xml:space="preserve">Охотничье угодье общества с ограниченной ответственностью «Русь»      </t>
  </si>
  <si>
    <t>№ п/п</t>
  </si>
  <si>
    <t>без подразделения по половому признаку, особей</t>
  </si>
  <si>
    <t>самцы во время гона, особей</t>
  </si>
  <si>
    <t>Беломорский район</t>
  </si>
  <si>
    <t>Калевальский район</t>
  </si>
  <si>
    <t>Кемский район</t>
  </si>
  <si>
    <t>Кондопожский район</t>
  </si>
  <si>
    <t>Лахденпохский район</t>
  </si>
  <si>
    <t>Лоухский район</t>
  </si>
  <si>
    <t>Медвежьегорский район</t>
  </si>
  <si>
    <t>Питкярантский район</t>
  </si>
  <si>
    <t>Пудожский район</t>
  </si>
  <si>
    <t>Сегежский район</t>
  </si>
  <si>
    <t>Суоярвский район</t>
  </si>
  <si>
    <t>Муезерский район</t>
  </si>
  <si>
    <t>Прионежский район</t>
  </si>
  <si>
    <t>Пряжинский район</t>
  </si>
  <si>
    <t>Олонецкий район</t>
  </si>
  <si>
    <t>город Сортавала</t>
  </si>
  <si>
    <t xml:space="preserve">Охотничье угодье Карельской Региональной Общественной Организации «ОХОТНИЧИЙ КЛУБ «ПУДОЖСКИЙ МЕДВЕДЬ»  </t>
  </si>
  <si>
    <t xml:space="preserve">Охотничье угодье некоммерческого партнерства - Спортивный клуб «МЕДВЕДЬ»             </t>
  </si>
  <si>
    <t>старше 1 года</t>
  </si>
  <si>
    <t>до 1 года</t>
  </si>
  <si>
    <t>всего, особей</t>
  </si>
  <si>
    <t>в том числе</t>
  </si>
  <si>
    <t xml:space="preserve">Охотничье угодье федерального государственного бюджетного учреждения науки Институт биологии Карельского научного центра Российской академии наук    </t>
  </si>
  <si>
    <t>4.</t>
  </si>
  <si>
    <t>3.</t>
  </si>
  <si>
    <t>Костомукшский городской округ</t>
  </si>
  <si>
    <t>5.</t>
  </si>
  <si>
    <t xml:space="preserve">Охотничье угодье общества с ограниченной ответственностью «Лестур»               </t>
  </si>
  <si>
    <t xml:space="preserve">Охотничье угодье общества с ограниченной ответственностью «Охотничье хозяйство «Черные камни»     </t>
  </si>
  <si>
    <t xml:space="preserve">Итого                          </t>
  </si>
  <si>
    <t xml:space="preserve">Итого                        </t>
  </si>
  <si>
    <t xml:space="preserve">Итого                       </t>
  </si>
  <si>
    <t xml:space="preserve">Охотничье угодье  межрегиональной общественной организации «Общество охотников и рыболовов правоохранительных и административных органов»            </t>
  </si>
  <si>
    <t>Охотничье угодье Карельской региональной общественной организации «Военное общество охотников и рыболовов Петрозаводского гарнизона»</t>
  </si>
  <si>
    <t xml:space="preserve">Итого                         </t>
  </si>
  <si>
    <t xml:space="preserve">Охотничье угодье общества с ограниченной ответственностью «Охотничье хозяйство «Черные камни» </t>
  </si>
  <si>
    <t>8.</t>
  </si>
  <si>
    <t>9.</t>
  </si>
  <si>
    <t>11.</t>
  </si>
  <si>
    <t>12.</t>
  </si>
  <si>
    <t>самцы во время гона</t>
  </si>
  <si>
    <t>Численность вида охотничьих ресурсов, особей</t>
  </si>
  <si>
    <t>Показатель численности, особей на 1000 га</t>
  </si>
  <si>
    <t>2015 г.</t>
  </si>
  <si>
    <t>2016 г.</t>
  </si>
  <si>
    <t>6.</t>
  </si>
  <si>
    <t xml:space="preserve">Площадь свойственная для обитания вида охотничьих ресурсов, тыс.га </t>
  </si>
  <si>
    <t>самцы с неокостенневшими рогами (пантами)</t>
  </si>
  <si>
    <t>без подразделения по половому признаку</t>
  </si>
  <si>
    <t>7.</t>
  </si>
  <si>
    <t>1.</t>
  </si>
  <si>
    <t xml:space="preserve">к распоряжению </t>
  </si>
  <si>
    <t>Главы Республики Карелия</t>
  </si>
  <si>
    <t>2.</t>
  </si>
  <si>
    <t>КРООиР</t>
  </si>
  <si>
    <t>2017 г.</t>
  </si>
  <si>
    <t xml:space="preserve">Охотничье угодье общества с ограниченной ответственностью  «Карманга» </t>
  </si>
  <si>
    <t xml:space="preserve">Охотничье угодье общества с ограниченной ответственностью  «Охотклуб-К» </t>
  </si>
  <si>
    <t>на период с 1 августа 2017 года до 1 августа 2018 года</t>
  </si>
  <si>
    <t xml:space="preserve">Охотничье угодье общеста с ограниченной ответственностью «Вангозеро»  </t>
  </si>
  <si>
    <t xml:space="preserve">Итого                   </t>
  </si>
  <si>
    <t xml:space="preserve">Итого                </t>
  </si>
  <si>
    <t>Охотничье угодье Карельской региональной общественной организации охотников и рыболовов (Верхне-Олонецкое охотничье хозяйство)</t>
  </si>
  <si>
    <t>Охотничье угодье Карельской региональной общественной организации охотников и рыболовов (Михайловское охотничье хозяйство)</t>
  </si>
  <si>
    <t xml:space="preserve">Охотничье угодье Карельской региональной общественной организации охотников и рыболовов «Охота и Рыбалка в Карелии»  </t>
  </si>
  <si>
    <t>в отношении охотничьих угодий в Республике Карелия</t>
  </si>
  <si>
    <t>Квоты добычи, особей</t>
  </si>
  <si>
    <t>Охотничье угодье общества с ограниченной ответственностью «Кристалл»</t>
  </si>
  <si>
    <t>всего</t>
  </si>
  <si>
    <t>Квоты добычи лося</t>
  </si>
  <si>
    <t>Приложение 2</t>
  </si>
  <si>
    <t>13.</t>
  </si>
  <si>
    <t>от 24 июля 2017 года № 334-р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</si>
</sst>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0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0"/>
      <color indexed="62"/>
      <name val="Times New Roman"/>
      <family val="1"/>
      <charset val="204"/>
    </font>
    <font>
      <sz val="8"/>
      <name val="Calibri"/>
      <family val="2"/>
    </font>
    <font>
      <b/>
      <sz val="10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3" fillId="0" borderId="0" xfId="0" applyFont="1"/>
    <xf numFmtId="0" fontId="3" fillId="0" borderId="0" xfId="0" applyFont="1" applyAlignment="1">
      <alignment horizontal="justify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2" borderId="0" xfId="0" applyFont="1" applyFill="1"/>
    <xf numFmtId="0" fontId="2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1" fontId="6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" fillId="0" borderId="0" xfId="0" applyFont="1"/>
    <xf numFmtId="2" fontId="6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/>
    <xf numFmtId="0" fontId="3" fillId="0" borderId="0" xfId="0" applyFont="1" applyAlignment="1">
      <alignment horizontal="left" wrapText="1"/>
    </xf>
    <xf numFmtId="1" fontId="3" fillId="0" borderId="0" xfId="0" applyNumberFormat="1" applyFont="1"/>
    <xf numFmtId="0" fontId="4" fillId="0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2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2" fontId="1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" fontId="3" fillId="0" borderId="0" xfId="0" applyNumberFormat="1" applyFont="1" applyAlignment="1">
      <alignment horizontal="right"/>
    </xf>
    <xf numFmtId="0" fontId="3" fillId="0" borderId="0" xfId="0" applyFont="1" applyAlignment="1">
      <alignment horizontal="left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8" fillId="0" borderId="0" xfId="0" applyFont="1" applyBorder="1" applyAlignment="1"/>
    <xf numFmtId="0" fontId="8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 vertical="top" wrapText="1"/>
    </xf>
    <xf numFmtId="0" fontId="8" fillId="0" borderId="0" xfId="0" applyFont="1" applyBorder="1" applyAlignment="1">
      <alignment vertical="top" wrapText="1"/>
    </xf>
    <xf numFmtId="0" fontId="3" fillId="0" borderId="1" xfId="0" applyFont="1" applyBorder="1"/>
    <xf numFmtId="0" fontId="6" fillId="0" borderId="0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164" fontId="7" fillId="0" borderId="1" xfId="0" applyNumberFormat="1" applyFont="1" applyFill="1" applyBorder="1" applyAlignment="1" applyProtection="1">
      <alignment horizontal="center" vertical="top" wrapText="1"/>
      <protection locked="0"/>
    </xf>
    <xf numFmtId="0" fontId="6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/>
    </xf>
    <xf numFmtId="0" fontId="6" fillId="0" borderId="5" xfId="0" applyFont="1" applyBorder="1" applyAlignment="1">
      <alignment horizontal="center" vertical="top"/>
    </xf>
    <xf numFmtId="0" fontId="6" fillId="0" borderId="4" xfId="0" applyFont="1" applyBorder="1" applyAlignment="1">
      <alignment horizontal="center" vertical="top"/>
    </xf>
    <xf numFmtId="1" fontId="9" fillId="0" borderId="2" xfId="0" applyNumberFormat="1" applyFont="1" applyBorder="1" applyAlignment="1">
      <alignment horizontal="center" vertical="top" wrapText="1"/>
    </xf>
    <xf numFmtId="1" fontId="9" fillId="0" borderId="3" xfId="0" applyNumberFormat="1" applyFont="1" applyBorder="1" applyAlignment="1">
      <alignment horizontal="center" vertical="top" wrapText="1"/>
    </xf>
    <xf numFmtId="1" fontId="9" fillId="0" borderId="6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2" fontId="7" fillId="0" borderId="1" xfId="0" applyNumberFormat="1" applyFont="1" applyFill="1" applyBorder="1" applyAlignment="1" applyProtection="1">
      <alignment horizontal="center" vertical="top" wrapText="1"/>
      <protection locked="0"/>
    </xf>
    <xf numFmtId="0" fontId="7" fillId="0" borderId="1" xfId="0" applyFont="1" applyFill="1" applyBorder="1" applyAlignment="1" applyProtection="1">
      <alignment horizontal="center" vertical="top" wrapText="1"/>
      <protection locked="0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33"/>
  <sheetViews>
    <sheetView tabSelected="1" workbookViewId="0">
      <selection activeCell="W35" sqref="W35"/>
    </sheetView>
  </sheetViews>
  <sheetFormatPr defaultRowHeight="15.75" x14ac:dyDescent="0.25"/>
  <cols>
    <col min="1" max="1" width="4" style="1" customWidth="1"/>
    <col min="2" max="2" width="55.7109375" style="9" customWidth="1"/>
    <col min="3" max="3" width="7" style="9" hidden="1" customWidth="1"/>
    <col min="4" max="4" width="6.85546875" style="9" hidden="1" customWidth="1"/>
    <col min="5" max="5" width="14.85546875" style="9" hidden="1" customWidth="1"/>
    <col min="6" max="7" width="7" style="9" hidden="1" customWidth="1"/>
    <col min="8" max="8" width="14" style="9" hidden="1" customWidth="1"/>
    <col min="9" max="10" width="7" style="9" hidden="1" customWidth="1"/>
    <col min="11" max="11" width="15" style="9" hidden="1" customWidth="1"/>
    <col min="12" max="12" width="7" style="12" hidden="1" customWidth="1"/>
    <col min="13" max="13" width="7.7109375" style="1" customWidth="1"/>
    <col min="14" max="14" width="8.7109375" style="1" hidden="1" customWidth="1"/>
    <col min="15" max="15" width="7.28515625" style="1" hidden="1" customWidth="1"/>
    <col min="16" max="16" width="13.85546875" style="1" hidden="1" customWidth="1"/>
    <col min="17" max="17" width="8.7109375" style="1" hidden="1" customWidth="1"/>
    <col min="18" max="18" width="8.28515625" style="1" hidden="1" customWidth="1"/>
    <col min="19" max="19" width="8.42578125" style="1" hidden="1" customWidth="1"/>
    <col min="20" max="20" width="8.140625" style="1" hidden="1" customWidth="1"/>
    <col min="21" max="21" width="3.85546875" style="1" hidden="1" customWidth="1"/>
    <col min="22" max="22" width="7.42578125" style="1" customWidth="1"/>
    <col min="23" max="23" width="13.85546875" style="1" customWidth="1"/>
    <col min="24" max="24" width="6.42578125" style="1" customWidth="1"/>
    <col min="25" max="16384" width="9.140625" style="1"/>
  </cols>
  <sheetData>
    <row r="1" spans="1:28" x14ac:dyDescent="0.25">
      <c r="J1" s="70"/>
      <c r="K1" s="70"/>
      <c r="L1" s="70"/>
      <c r="M1" s="70"/>
      <c r="N1" s="25"/>
      <c r="O1" s="25"/>
      <c r="P1" s="25"/>
      <c r="Q1" s="25"/>
      <c r="R1" s="25"/>
      <c r="S1" s="25"/>
      <c r="T1" s="25"/>
      <c r="U1" s="25"/>
      <c r="V1" s="70" t="s">
        <v>114</v>
      </c>
      <c r="W1" s="70"/>
      <c r="X1" s="70"/>
    </row>
    <row r="2" spans="1:28" ht="14.25" customHeight="1" x14ac:dyDescent="0.25">
      <c r="A2" s="2"/>
      <c r="J2" s="69"/>
      <c r="K2" s="69"/>
      <c r="L2" s="69"/>
      <c r="M2" s="69"/>
      <c r="N2" s="9"/>
      <c r="O2" s="9"/>
      <c r="P2" s="9"/>
      <c r="Q2" s="9"/>
      <c r="R2" s="9"/>
      <c r="S2" s="9"/>
      <c r="T2" s="9"/>
      <c r="U2" s="9"/>
      <c r="V2" s="70" t="s">
        <v>95</v>
      </c>
      <c r="W2" s="70"/>
      <c r="X2" s="70"/>
    </row>
    <row r="3" spans="1:28" ht="18.75" customHeight="1" x14ac:dyDescent="0.25">
      <c r="A3" s="2"/>
      <c r="J3" s="69"/>
      <c r="K3" s="69"/>
      <c r="L3" s="69"/>
      <c r="M3" s="69"/>
      <c r="N3" s="9"/>
      <c r="O3" s="9"/>
      <c r="P3" s="9"/>
      <c r="Q3" s="9"/>
      <c r="R3" s="9"/>
      <c r="S3" s="26"/>
      <c r="T3" s="26"/>
      <c r="U3" s="26"/>
      <c r="V3" s="70" t="s">
        <v>96</v>
      </c>
      <c r="W3" s="70"/>
      <c r="X3" s="70"/>
    </row>
    <row r="4" spans="1:28" ht="18.75" customHeight="1" x14ac:dyDescent="0.25">
      <c r="A4" s="2"/>
      <c r="J4" s="41"/>
      <c r="K4" s="41"/>
      <c r="L4" s="41"/>
      <c r="M4" s="41"/>
      <c r="N4" s="9"/>
      <c r="O4" s="9"/>
      <c r="P4" s="9"/>
      <c r="Q4" s="9"/>
      <c r="R4" s="9"/>
      <c r="S4" s="41"/>
      <c r="T4" s="41"/>
      <c r="U4" s="41"/>
      <c r="V4" s="70" t="s">
        <v>116</v>
      </c>
      <c r="W4" s="70"/>
      <c r="X4" s="70"/>
    </row>
    <row r="5" spans="1:28" x14ac:dyDescent="0.25">
      <c r="A5" s="73" t="s">
        <v>113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</row>
    <row r="6" spans="1:28" x14ac:dyDescent="0.25">
      <c r="A6" s="74" t="s">
        <v>109</v>
      </c>
      <c r="B6" s="74"/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  <c r="V6" s="74"/>
      <c r="W6" s="74"/>
      <c r="X6" s="74"/>
    </row>
    <row r="7" spans="1:28" x14ac:dyDescent="0.25">
      <c r="A7" s="74" t="s">
        <v>102</v>
      </c>
      <c r="B7" s="74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74"/>
      <c r="U7" s="74"/>
      <c r="V7" s="74"/>
      <c r="W7" s="74"/>
      <c r="X7" s="74"/>
    </row>
    <row r="8" spans="1:28" ht="6" customHeight="1" x14ac:dyDescent="0.25">
      <c r="A8" s="3"/>
      <c r="B8" s="10"/>
      <c r="C8" s="10"/>
      <c r="D8" s="10"/>
      <c r="E8" s="10"/>
      <c r="F8" s="10"/>
      <c r="G8" s="10"/>
      <c r="H8" s="10"/>
      <c r="I8" s="10"/>
      <c r="J8" s="10"/>
      <c r="K8" s="10"/>
      <c r="L8" s="13"/>
      <c r="M8" s="3"/>
      <c r="N8" s="11"/>
      <c r="O8" s="3"/>
      <c r="P8" s="3"/>
      <c r="Q8" s="3"/>
    </row>
    <row r="9" spans="1:28" ht="18" customHeight="1" x14ac:dyDescent="0.25">
      <c r="A9" s="62" t="s">
        <v>41</v>
      </c>
      <c r="B9" s="62" t="s">
        <v>8</v>
      </c>
      <c r="C9" s="71" t="s">
        <v>90</v>
      </c>
      <c r="D9" s="71"/>
      <c r="E9" s="71"/>
      <c r="F9" s="72" t="s">
        <v>85</v>
      </c>
      <c r="G9" s="72"/>
      <c r="H9" s="72"/>
      <c r="I9" s="56" t="s">
        <v>86</v>
      </c>
      <c r="J9" s="56"/>
      <c r="K9" s="56"/>
      <c r="L9" s="20" t="s">
        <v>110</v>
      </c>
      <c r="M9" s="63" t="s">
        <v>110</v>
      </c>
      <c r="N9" s="64"/>
      <c r="O9" s="64"/>
      <c r="P9" s="64"/>
      <c r="Q9" s="64"/>
      <c r="R9" s="64"/>
      <c r="S9" s="64"/>
      <c r="T9" s="64"/>
      <c r="U9" s="64"/>
      <c r="V9" s="64"/>
      <c r="W9" s="64"/>
      <c r="X9" s="65"/>
      <c r="Y9" s="45"/>
      <c r="Z9" s="45"/>
      <c r="AA9" s="45"/>
      <c r="AB9" s="45"/>
    </row>
    <row r="10" spans="1:28" ht="18" customHeight="1" x14ac:dyDescent="0.25">
      <c r="A10" s="62"/>
      <c r="B10" s="62"/>
      <c r="C10" s="71"/>
      <c r="D10" s="71"/>
      <c r="E10" s="71"/>
      <c r="F10" s="72"/>
      <c r="G10" s="72"/>
      <c r="H10" s="72"/>
      <c r="I10" s="56"/>
      <c r="J10" s="56"/>
      <c r="K10" s="56"/>
      <c r="L10" s="20"/>
      <c r="M10" s="66" t="s">
        <v>112</v>
      </c>
      <c r="N10" s="22"/>
      <c r="O10" s="22"/>
      <c r="P10" s="22"/>
      <c r="Q10" s="22"/>
      <c r="R10" s="22"/>
      <c r="S10" s="22"/>
      <c r="T10" s="22"/>
      <c r="U10" s="22"/>
      <c r="V10" s="75" t="s">
        <v>65</v>
      </c>
      <c r="W10" s="76"/>
      <c r="X10" s="77"/>
      <c r="Y10" s="45"/>
      <c r="Z10" s="45"/>
      <c r="AA10" s="45"/>
      <c r="AB10" s="45"/>
    </row>
    <row r="11" spans="1:28" ht="15" customHeight="1" x14ac:dyDescent="0.25">
      <c r="A11" s="62"/>
      <c r="B11" s="62"/>
      <c r="C11" s="71"/>
      <c r="D11" s="71"/>
      <c r="E11" s="71"/>
      <c r="F11" s="72"/>
      <c r="G11" s="72"/>
      <c r="H11" s="72"/>
      <c r="I11" s="56"/>
      <c r="J11" s="56"/>
      <c r="K11" s="56"/>
      <c r="L11" s="20"/>
      <c r="M11" s="68"/>
      <c r="N11" s="61" t="s">
        <v>65</v>
      </c>
      <c r="O11" s="61"/>
      <c r="P11" s="61"/>
      <c r="Q11" s="61"/>
      <c r="R11" s="53" t="s">
        <v>64</v>
      </c>
      <c r="S11" s="61" t="s">
        <v>65</v>
      </c>
      <c r="T11" s="61"/>
      <c r="U11" s="61"/>
      <c r="V11" s="61" t="s">
        <v>62</v>
      </c>
      <c r="W11" s="61"/>
      <c r="X11" s="66" t="s">
        <v>63</v>
      </c>
      <c r="Y11" s="46"/>
      <c r="Z11" s="46"/>
      <c r="AA11" s="46"/>
      <c r="AB11" s="46"/>
    </row>
    <row r="12" spans="1:28" ht="54" customHeight="1" x14ac:dyDescent="0.25">
      <c r="A12" s="62"/>
      <c r="B12" s="62"/>
      <c r="C12" s="71"/>
      <c r="D12" s="71"/>
      <c r="E12" s="71"/>
      <c r="F12" s="72"/>
      <c r="G12" s="72"/>
      <c r="H12" s="72"/>
      <c r="I12" s="56"/>
      <c r="J12" s="56"/>
      <c r="K12" s="56"/>
      <c r="L12" s="20"/>
      <c r="M12" s="67"/>
      <c r="N12" s="53" t="s">
        <v>91</v>
      </c>
      <c r="O12" s="53" t="s">
        <v>84</v>
      </c>
      <c r="P12" s="53" t="s">
        <v>92</v>
      </c>
      <c r="Q12" s="53"/>
      <c r="R12" s="53"/>
      <c r="S12" s="42" t="s">
        <v>43</v>
      </c>
      <c r="T12" s="42" t="s">
        <v>42</v>
      </c>
      <c r="U12" s="42"/>
      <c r="V12" s="51" t="s">
        <v>84</v>
      </c>
      <c r="W12" s="51" t="s">
        <v>92</v>
      </c>
      <c r="X12" s="67"/>
      <c r="Y12" s="47"/>
      <c r="Z12" s="47"/>
      <c r="AA12" s="47"/>
      <c r="AB12" s="48"/>
    </row>
    <row r="13" spans="1:28" ht="28.5" hidden="1" customHeight="1" x14ac:dyDescent="0.25">
      <c r="A13" s="62"/>
      <c r="B13" s="62"/>
      <c r="C13" s="34" t="s">
        <v>87</v>
      </c>
      <c r="D13" s="34" t="s">
        <v>88</v>
      </c>
      <c r="E13" s="34" t="s">
        <v>99</v>
      </c>
      <c r="F13" s="35" t="s">
        <v>87</v>
      </c>
      <c r="G13" s="35" t="s">
        <v>88</v>
      </c>
      <c r="H13" s="34" t="s">
        <v>99</v>
      </c>
      <c r="I13" s="35" t="s">
        <v>87</v>
      </c>
      <c r="J13" s="35" t="s">
        <v>88</v>
      </c>
      <c r="K13" s="34" t="s">
        <v>99</v>
      </c>
      <c r="L13" s="20"/>
      <c r="M13" s="20"/>
      <c r="N13" s="53"/>
      <c r="O13" s="53"/>
      <c r="P13" s="53"/>
      <c r="Q13" s="53"/>
      <c r="R13" s="53"/>
      <c r="S13" s="42"/>
      <c r="T13" s="42"/>
      <c r="U13" s="42"/>
      <c r="V13" s="33"/>
      <c r="W13" s="33"/>
      <c r="X13" s="33"/>
    </row>
    <row r="14" spans="1:28" hidden="1" x14ac:dyDescent="0.25">
      <c r="A14" s="42">
        <v>1</v>
      </c>
      <c r="B14" s="42">
        <v>2</v>
      </c>
      <c r="C14" s="53">
        <v>3</v>
      </c>
      <c r="D14" s="53"/>
      <c r="E14" s="53"/>
      <c r="F14" s="53">
        <v>4</v>
      </c>
      <c r="G14" s="53"/>
      <c r="H14" s="53"/>
      <c r="I14" s="53">
        <v>5</v>
      </c>
      <c r="J14" s="53"/>
      <c r="K14" s="53"/>
      <c r="L14" s="44">
        <v>6</v>
      </c>
      <c r="M14" s="42">
        <v>7</v>
      </c>
      <c r="N14" s="42">
        <v>14</v>
      </c>
      <c r="O14" s="22">
        <v>4</v>
      </c>
      <c r="P14" s="22">
        <v>5</v>
      </c>
      <c r="Q14" s="22">
        <v>8</v>
      </c>
      <c r="R14" s="42">
        <v>8</v>
      </c>
      <c r="S14" s="43">
        <v>11</v>
      </c>
      <c r="T14" s="43">
        <v>12</v>
      </c>
      <c r="U14" s="43">
        <v>13</v>
      </c>
      <c r="V14" s="49"/>
      <c r="W14" s="49"/>
      <c r="X14" s="49"/>
    </row>
    <row r="15" spans="1:28" x14ac:dyDescent="0.25">
      <c r="A15" s="42">
        <v>1</v>
      </c>
      <c r="B15" s="42">
        <v>2</v>
      </c>
      <c r="C15" s="42"/>
      <c r="D15" s="42"/>
      <c r="E15" s="42"/>
      <c r="F15" s="42"/>
      <c r="G15" s="42"/>
      <c r="H15" s="42"/>
      <c r="I15" s="42"/>
      <c r="J15" s="42"/>
      <c r="K15" s="42"/>
      <c r="L15" s="44"/>
      <c r="M15" s="42">
        <v>3</v>
      </c>
      <c r="N15" s="42"/>
      <c r="O15" s="22"/>
      <c r="P15" s="22"/>
      <c r="Q15" s="22"/>
      <c r="R15" s="42"/>
      <c r="S15" s="43"/>
      <c r="T15" s="43"/>
      <c r="U15" s="43"/>
      <c r="V15" s="43">
        <v>4</v>
      </c>
      <c r="W15" s="43">
        <v>5</v>
      </c>
      <c r="X15" s="43">
        <v>6</v>
      </c>
    </row>
    <row r="16" spans="1:28" ht="15.75" customHeight="1" x14ac:dyDescent="0.25">
      <c r="A16" s="57" t="s">
        <v>44</v>
      </c>
      <c r="B16" s="58"/>
      <c r="C16" s="58"/>
      <c r="D16" s="58"/>
      <c r="E16" s="58"/>
      <c r="F16" s="58"/>
      <c r="G16" s="58"/>
      <c r="H16" s="58"/>
      <c r="I16" s="58"/>
      <c r="J16" s="58"/>
      <c r="K16" s="58"/>
      <c r="L16" s="58"/>
      <c r="M16" s="58"/>
      <c r="N16" s="58"/>
      <c r="O16" s="58"/>
      <c r="P16" s="58"/>
      <c r="Q16" s="58"/>
      <c r="R16" s="58"/>
      <c r="S16" s="58"/>
      <c r="T16" s="58"/>
      <c r="U16" s="58"/>
      <c r="V16" s="58"/>
      <c r="W16" s="58"/>
      <c r="X16" s="59"/>
    </row>
    <row r="17" spans="1:25" ht="26.25" customHeight="1" x14ac:dyDescent="0.25">
      <c r="A17" s="37" t="s">
        <v>0</v>
      </c>
      <c r="B17" s="4" t="s">
        <v>10</v>
      </c>
      <c r="C17" s="37">
        <v>60</v>
      </c>
      <c r="D17" s="37">
        <v>60</v>
      </c>
      <c r="E17" s="5">
        <v>60</v>
      </c>
      <c r="F17" s="37">
        <v>68</v>
      </c>
      <c r="G17" s="37">
        <v>62</v>
      </c>
      <c r="H17" s="37">
        <v>9</v>
      </c>
      <c r="I17" s="38">
        <f>F17/C17</f>
        <v>1.1333333333333333</v>
      </c>
      <c r="J17" s="38">
        <f t="shared" ref="J17" si="0">G17/D17</f>
        <v>1.0333333333333334</v>
      </c>
      <c r="K17" s="38">
        <f>H17/E17</f>
        <v>0.15</v>
      </c>
      <c r="L17" s="36">
        <f>M17*100/H17</f>
        <v>33.333333333333336</v>
      </c>
      <c r="M17" s="37">
        <v>3</v>
      </c>
      <c r="N17" s="7"/>
      <c r="O17" s="39">
        <v>0</v>
      </c>
      <c r="P17" s="39">
        <v>3</v>
      </c>
      <c r="Q17" s="39">
        <v>0</v>
      </c>
      <c r="R17" s="29">
        <v>1</v>
      </c>
      <c r="S17" s="6">
        <v>0</v>
      </c>
      <c r="T17" s="6">
        <v>4</v>
      </c>
      <c r="U17" s="6">
        <v>0</v>
      </c>
      <c r="V17" s="37">
        <v>0</v>
      </c>
      <c r="W17" s="37">
        <v>3</v>
      </c>
      <c r="X17" s="37">
        <v>0</v>
      </c>
    </row>
    <row r="18" spans="1:25" ht="30.75" customHeight="1" x14ac:dyDescent="0.25">
      <c r="A18" s="37" t="s">
        <v>1</v>
      </c>
      <c r="B18" s="4" t="s">
        <v>16</v>
      </c>
      <c r="C18" s="37">
        <v>213.4</v>
      </c>
      <c r="D18" s="37">
        <v>213.4</v>
      </c>
      <c r="E18" s="37">
        <v>213.4</v>
      </c>
      <c r="F18" s="37">
        <v>243</v>
      </c>
      <c r="G18" s="37">
        <v>220</v>
      </c>
      <c r="H18" s="37">
        <v>31</v>
      </c>
      <c r="I18" s="38">
        <f t="shared" ref="I18:I20" si="1">F18/C18</f>
        <v>1.1387066541705717</v>
      </c>
      <c r="J18" s="38">
        <f t="shared" ref="J18:J20" si="2">G18/D18</f>
        <v>1.0309278350515463</v>
      </c>
      <c r="K18" s="38">
        <f t="shared" ref="K18:K20" si="3">H18/E18</f>
        <v>0.14526710402999063</v>
      </c>
      <c r="L18" s="36">
        <f>M18*100/H18</f>
        <v>35.483870967741936</v>
      </c>
      <c r="M18" s="37">
        <v>11</v>
      </c>
      <c r="N18" s="7"/>
      <c r="O18" s="39">
        <v>2</v>
      </c>
      <c r="P18" s="39">
        <v>7</v>
      </c>
      <c r="Q18" s="39">
        <v>2</v>
      </c>
      <c r="R18" s="29">
        <v>6</v>
      </c>
      <c r="S18" s="6">
        <v>2</v>
      </c>
      <c r="T18" s="6">
        <v>12</v>
      </c>
      <c r="U18" s="6">
        <v>3</v>
      </c>
      <c r="V18" s="37">
        <v>2</v>
      </c>
      <c r="W18" s="37">
        <v>7</v>
      </c>
      <c r="X18" s="37">
        <v>2</v>
      </c>
    </row>
    <row r="19" spans="1:25" ht="18" customHeight="1" x14ac:dyDescent="0.25">
      <c r="A19" s="37" t="s">
        <v>68</v>
      </c>
      <c r="B19" s="4" t="s">
        <v>9</v>
      </c>
      <c r="C19" s="37">
        <v>877.5</v>
      </c>
      <c r="D19" s="37">
        <v>906.3</v>
      </c>
      <c r="E19" s="5" t="e">
        <f>E20-#REF!-E17-E18-#REF!</f>
        <v>#REF!</v>
      </c>
      <c r="F19" s="37">
        <v>1034</v>
      </c>
      <c r="G19" s="37">
        <v>932</v>
      </c>
      <c r="H19" s="37" t="e">
        <f>H20-#REF!-H17-H18</f>
        <v>#REF!</v>
      </c>
      <c r="I19" s="38">
        <f t="shared" si="1"/>
        <v>1.1783475783475783</v>
      </c>
      <c r="J19" s="38">
        <f t="shared" si="2"/>
        <v>1.0283570561624187</v>
      </c>
      <c r="K19" s="38" t="e">
        <f t="shared" si="3"/>
        <v>#REF!</v>
      </c>
      <c r="L19" s="36" t="e">
        <f>M19*100/H19</f>
        <v>#REF!</v>
      </c>
      <c r="M19" s="37">
        <v>49</v>
      </c>
      <c r="N19" s="15"/>
      <c r="O19" s="16">
        <v>5</v>
      </c>
      <c r="P19" s="16">
        <v>34</v>
      </c>
      <c r="Q19" s="39">
        <v>7</v>
      </c>
      <c r="R19" s="6"/>
      <c r="S19" s="6"/>
      <c r="T19" s="6"/>
      <c r="U19" s="6"/>
      <c r="V19" s="37">
        <v>7</v>
      </c>
      <c r="W19" s="37">
        <v>33</v>
      </c>
      <c r="X19" s="37">
        <v>9</v>
      </c>
    </row>
    <row r="20" spans="1:25" s="23" customFormat="1" x14ac:dyDescent="0.25">
      <c r="A20" s="52" t="s">
        <v>75</v>
      </c>
      <c r="B20" s="52"/>
      <c r="C20" s="42">
        <f>SUM(C17:C19)</f>
        <v>1150.9000000000001</v>
      </c>
      <c r="D20" s="42">
        <v>1249.7</v>
      </c>
      <c r="E20" s="42">
        <v>1249.7</v>
      </c>
      <c r="F20" s="42">
        <f>SUM(F17:F19)</f>
        <v>1345</v>
      </c>
      <c r="G20" s="42">
        <f>SUM(G17:G19)</f>
        <v>1214</v>
      </c>
      <c r="H20" s="42">
        <v>180</v>
      </c>
      <c r="I20" s="18">
        <f t="shared" si="1"/>
        <v>1.1686506212529324</v>
      </c>
      <c r="J20" s="18">
        <f t="shared" si="2"/>
        <v>0.97143314395454905</v>
      </c>
      <c r="K20" s="18">
        <f t="shared" si="3"/>
        <v>0.14403456829639114</v>
      </c>
      <c r="L20" s="24">
        <f>M20*100/H20</f>
        <v>35</v>
      </c>
      <c r="M20" s="42">
        <f>SUM(M17:M19)</f>
        <v>63</v>
      </c>
      <c r="N20" s="19">
        <v>0</v>
      </c>
      <c r="O20" s="42">
        <f>SUM(O17:O19)</f>
        <v>7</v>
      </c>
      <c r="P20" s="42">
        <f>SUM(P17:P19)</f>
        <v>44</v>
      </c>
      <c r="Q20" s="42">
        <f>SUM(Q17:Q19)</f>
        <v>9</v>
      </c>
      <c r="R20" s="6"/>
      <c r="S20" s="6"/>
      <c r="T20" s="6"/>
      <c r="U20" s="6"/>
      <c r="V20" s="42">
        <f>SUM(V17:V19)</f>
        <v>9</v>
      </c>
      <c r="W20" s="42">
        <f>SUM(W17:W19)</f>
        <v>43</v>
      </c>
      <c r="X20" s="42">
        <f>SUM(X17:X19)</f>
        <v>11</v>
      </c>
    </row>
    <row r="21" spans="1:25" ht="15.75" customHeight="1" x14ac:dyDescent="0.25">
      <c r="A21" s="57" t="s">
        <v>45</v>
      </c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9"/>
    </row>
    <row r="22" spans="1:25" ht="31.5" customHeight="1" x14ac:dyDescent="0.25">
      <c r="A22" s="37" t="s">
        <v>94</v>
      </c>
      <c r="B22" s="4" t="s">
        <v>10</v>
      </c>
      <c r="C22" s="37">
        <v>145.1</v>
      </c>
      <c r="D22" s="37">
        <v>145.1</v>
      </c>
      <c r="E22" s="37">
        <v>145.1</v>
      </c>
      <c r="F22" s="37">
        <v>259</v>
      </c>
      <c r="G22" s="37">
        <v>257</v>
      </c>
      <c r="H22" s="37">
        <v>36</v>
      </c>
      <c r="I22" s="38">
        <f t="shared" ref="I22:I26" si="4">F22/C22</f>
        <v>1.7849758787043419</v>
      </c>
      <c r="J22" s="38">
        <f t="shared" ref="J22" si="5">G22/D22</f>
        <v>1.7711922811853895</v>
      </c>
      <c r="K22" s="38">
        <f>H22/E22</f>
        <v>0.24810475534114404</v>
      </c>
      <c r="L22" s="24">
        <f>M22*100/H22</f>
        <v>33.333333333333336</v>
      </c>
      <c r="M22" s="37">
        <v>12</v>
      </c>
      <c r="N22" s="37"/>
      <c r="O22" s="37">
        <v>2</v>
      </c>
      <c r="P22" s="37">
        <v>8</v>
      </c>
      <c r="Q22" s="37">
        <v>2</v>
      </c>
      <c r="R22" s="29">
        <v>4</v>
      </c>
      <c r="S22" s="6"/>
      <c r="T22" s="6"/>
      <c r="U22" s="6"/>
      <c r="V22" s="37">
        <v>1</v>
      </c>
      <c r="W22" s="37">
        <v>9</v>
      </c>
      <c r="X22" s="37">
        <v>2</v>
      </c>
    </row>
    <row r="23" spans="1:25" ht="25.5" customHeight="1" x14ac:dyDescent="0.25">
      <c r="A23" s="37" t="s">
        <v>97</v>
      </c>
      <c r="B23" s="4" t="s">
        <v>100</v>
      </c>
      <c r="C23" s="37"/>
      <c r="D23" s="37"/>
      <c r="E23" s="37">
        <v>89.95</v>
      </c>
      <c r="F23" s="37"/>
      <c r="G23" s="37"/>
      <c r="H23" s="37">
        <v>22</v>
      </c>
      <c r="I23" s="38"/>
      <c r="J23" s="38"/>
      <c r="K23" s="38">
        <f t="shared" ref="K23:K26" si="6">H23/E23</f>
        <v>0.24458032240133407</v>
      </c>
      <c r="L23" s="24">
        <f>M23*100/H23</f>
        <v>31.818181818181817</v>
      </c>
      <c r="M23" s="37">
        <v>7</v>
      </c>
      <c r="N23" s="37"/>
      <c r="O23" s="37">
        <v>1</v>
      </c>
      <c r="P23" s="37">
        <v>5</v>
      </c>
      <c r="Q23" s="37">
        <v>1</v>
      </c>
      <c r="R23" s="29">
        <v>4</v>
      </c>
      <c r="S23" s="6"/>
      <c r="T23" s="6"/>
      <c r="U23" s="6"/>
      <c r="V23" s="37">
        <v>1</v>
      </c>
      <c r="W23" s="37">
        <v>5</v>
      </c>
      <c r="X23" s="37">
        <v>1</v>
      </c>
    </row>
    <row r="24" spans="1:25" ht="27" customHeight="1" x14ac:dyDescent="0.25">
      <c r="A24" s="37" t="s">
        <v>68</v>
      </c>
      <c r="B24" s="4" t="s">
        <v>101</v>
      </c>
      <c r="C24" s="37"/>
      <c r="D24" s="37"/>
      <c r="E24" s="37">
        <v>114.04</v>
      </c>
      <c r="F24" s="37"/>
      <c r="G24" s="37"/>
      <c r="H24" s="37">
        <v>28</v>
      </c>
      <c r="I24" s="38"/>
      <c r="J24" s="38"/>
      <c r="K24" s="38">
        <f t="shared" si="6"/>
        <v>0.24552788495264818</v>
      </c>
      <c r="L24" s="24">
        <f>M24*100/H24</f>
        <v>32.142857142857146</v>
      </c>
      <c r="M24" s="37">
        <v>9</v>
      </c>
      <c r="N24" s="37"/>
      <c r="O24" s="37">
        <v>2</v>
      </c>
      <c r="P24" s="37">
        <v>6</v>
      </c>
      <c r="Q24" s="37">
        <v>1</v>
      </c>
      <c r="R24" s="29">
        <v>5</v>
      </c>
      <c r="S24" s="6"/>
      <c r="T24" s="6"/>
      <c r="U24" s="6"/>
      <c r="V24" s="37">
        <v>2</v>
      </c>
      <c r="W24" s="37">
        <v>6</v>
      </c>
      <c r="X24" s="37">
        <v>1</v>
      </c>
    </row>
    <row r="25" spans="1:25" ht="17.25" customHeight="1" x14ac:dyDescent="0.25">
      <c r="A25" s="37" t="s">
        <v>67</v>
      </c>
      <c r="B25" s="4" t="s">
        <v>11</v>
      </c>
      <c r="C25" s="37">
        <v>1040.0999999999999</v>
      </c>
      <c r="D25" s="37">
        <v>1040.0999999999999</v>
      </c>
      <c r="E25" s="37" t="e">
        <f>E26-#REF!-E22-E23-E24</f>
        <v>#REF!</v>
      </c>
      <c r="F25" s="37">
        <v>1857</v>
      </c>
      <c r="G25" s="37">
        <v>1842</v>
      </c>
      <c r="H25" s="37" t="e">
        <f>H26-#REF!-H22-H23-H24</f>
        <v>#REF!</v>
      </c>
      <c r="I25" s="38">
        <f t="shared" si="4"/>
        <v>1.785405249495241</v>
      </c>
      <c r="J25" s="38">
        <f t="shared" ref="J25:J26" si="7">G25/D25</f>
        <v>1.7709835592731469</v>
      </c>
      <c r="K25" s="38" t="e">
        <f t="shared" si="6"/>
        <v>#REF!</v>
      </c>
      <c r="L25" s="24" t="e">
        <f>M25*100/H25</f>
        <v>#REF!</v>
      </c>
      <c r="M25" s="37">
        <v>68</v>
      </c>
      <c r="N25" s="37"/>
      <c r="O25" s="37">
        <v>11</v>
      </c>
      <c r="P25" s="37">
        <v>44</v>
      </c>
      <c r="Q25" s="37">
        <v>13</v>
      </c>
      <c r="R25" s="6"/>
      <c r="S25" s="6"/>
      <c r="T25" s="6"/>
      <c r="U25" s="6"/>
      <c r="V25" s="37">
        <v>10</v>
      </c>
      <c r="W25" s="37">
        <v>45</v>
      </c>
      <c r="X25" s="37">
        <v>13</v>
      </c>
    </row>
    <row r="26" spans="1:25" s="23" customFormat="1" x14ac:dyDescent="0.25">
      <c r="A26" s="52" t="s">
        <v>73</v>
      </c>
      <c r="B26" s="52"/>
      <c r="C26" s="42">
        <f>SUM(C22:C25)</f>
        <v>1185.1999999999998</v>
      </c>
      <c r="D26" s="42">
        <f>SUM(D22:D25)</f>
        <v>1185.1999999999998</v>
      </c>
      <c r="E26" s="42">
        <v>1185.2</v>
      </c>
      <c r="F26" s="42">
        <v>2116</v>
      </c>
      <c r="G26" s="42">
        <v>2099</v>
      </c>
      <c r="H26" s="42">
        <v>290</v>
      </c>
      <c r="I26" s="38">
        <f t="shared" si="4"/>
        <v>1.7853526830914617</v>
      </c>
      <c r="J26" s="38">
        <f t="shared" si="7"/>
        <v>1.7710091123860954</v>
      </c>
      <c r="K26" s="38">
        <f t="shared" si="6"/>
        <v>0.24468444144448193</v>
      </c>
      <c r="L26" s="24">
        <f>M26*100/H26</f>
        <v>33.103448275862071</v>
      </c>
      <c r="M26" s="42">
        <f>SUM(M22:M25)</f>
        <v>96</v>
      </c>
      <c r="N26" s="19">
        <v>0</v>
      </c>
      <c r="O26" s="42">
        <f>SUM(O22:O25)</f>
        <v>16</v>
      </c>
      <c r="P26" s="42">
        <f>SUM(P22:P25)</f>
        <v>63</v>
      </c>
      <c r="Q26" s="42">
        <f>SUM(Q22:Q25)</f>
        <v>17</v>
      </c>
      <c r="R26" s="6"/>
      <c r="S26" s="6"/>
      <c r="T26" s="6"/>
      <c r="U26" s="6"/>
      <c r="V26" s="42">
        <f t="shared" ref="V26:X26" si="8">SUM(V22:V25)</f>
        <v>14</v>
      </c>
      <c r="W26" s="42">
        <f t="shared" si="8"/>
        <v>65</v>
      </c>
      <c r="X26" s="42">
        <f t="shared" si="8"/>
        <v>17</v>
      </c>
      <c r="Y26" s="50"/>
    </row>
    <row r="27" spans="1:25" ht="15.75" customHeight="1" x14ac:dyDescent="0.25">
      <c r="A27" s="57" t="s">
        <v>46</v>
      </c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9"/>
    </row>
    <row r="28" spans="1:25" ht="15.75" customHeight="1" x14ac:dyDescent="0.25">
      <c r="A28" s="37" t="s">
        <v>94</v>
      </c>
      <c r="B28" s="4" t="s">
        <v>11</v>
      </c>
      <c r="C28" s="37" t="e">
        <f>C29-#REF!-#REF!</f>
        <v>#REF!</v>
      </c>
      <c r="D28" s="37" t="e">
        <f>D29-#REF!-#REF!</f>
        <v>#REF!</v>
      </c>
      <c r="E28" s="37" t="e">
        <f>E29-#REF!</f>
        <v>#REF!</v>
      </c>
      <c r="F28" s="37" t="e">
        <f>F29-#REF!-#REF!</f>
        <v>#REF!</v>
      </c>
      <c r="G28" s="37" t="e">
        <f>G29-#REF!</f>
        <v>#REF!</v>
      </c>
      <c r="H28" s="37" t="e">
        <f>H29-#REF!</f>
        <v>#REF!</v>
      </c>
      <c r="I28" s="38" t="e">
        <f>F28/C28</f>
        <v>#REF!</v>
      </c>
      <c r="J28" s="38" t="e">
        <f>G28/D28</f>
        <v>#REF!</v>
      </c>
      <c r="K28" s="38" t="e">
        <f>H28/E28</f>
        <v>#REF!</v>
      </c>
      <c r="L28" s="36" t="e">
        <f>M28*100/H28</f>
        <v>#REF!</v>
      </c>
      <c r="M28" s="37">
        <v>38</v>
      </c>
      <c r="N28" s="7"/>
      <c r="O28" s="39">
        <v>6</v>
      </c>
      <c r="P28" s="39">
        <v>25</v>
      </c>
      <c r="Q28" s="39">
        <v>7</v>
      </c>
      <c r="R28" s="6"/>
      <c r="S28" s="6"/>
      <c r="T28" s="6"/>
      <c r="U28" s="6"/>
      <c r="V28" s="37">
        <v>6</v>
      </c>
      <c r="W28" s="37">
        <v>25</v>
      </c>
      <c r="X28" s="37">
        <v>7</v>
      </c>
    </row>
    <row r="29" spans="1:25" s="23" customFormat="1" x14ac:dyDescent="0.25">
      <c r="A29" s="52" t="s">
        <v>73</v>
      </c>
      <c r="B29" s="52"/>
      <c r="C29" s="42">
        <v>740.5</v>
      </c>
      <c r="D29" s="42">
        <v>740.5</v>
      </c>
      <c r="E29" s="42">
        <v>740.5</v>
      </c>
      <c r="F29" s="42">
        <v>864</v>
      </c>
      <c r="G29" s="42">
        <v>897</v>
      </c>
      <c r="H29" s="42">
        <v>80</v>
      </c>
      <c r="I29" s="18">
        <f t="shared" ref="I29" si="9">F29/C29</f>
        <v>1.1667792032410533</v>
      </c>
      <c r="J29" s="18">
        <f t="shared" ref="J29" si="10">G29/D29</f>
        <v>1.2113436866981768</v>
      </c>
      <c r="K29" s="18">
        <f t="shared" ref="K29" si="11">H29/E29</f>
        <v>0.10803511141120864</v>
      </c>
      <c r="L29" s="24">
        <f>M29*100/H29</f>
        <v>47.5</v>
      </c>
      <c r="M29" s="42">
        <f>SUM(M28:M28)</f>
        <v>38</v>
      </c>
      <c r="N29" s="19">
        <v>0</v>
      </c>
      <c r="O29" s="42">
        <f>SUM(O28:O28)</f>
        <v>6</v>
      </c>
      <c r="P29" s="42">
        <f>SUM(P28:P28)</f>
        <v>25</v>
      </c>
      <c r="Q29" s="42">
        <f>SUM(Q28:Q28)</f>
        <v>7</v>
      </c>
      <c r="R29" s="6"/>
      <c r="S29" s="6"/>
      <c r="T29" s="6"/>
      <c r="U29" s="6"/>
      <c r="V29" s="42">
        <f t="shared" ref="V29:X29" si="12">SUM(V28:V28)</f>
        <v>6</v>
      </c>
      <c r="W29" s="42">
        <f t="shared" si="12"/>
        <v>25</v>
      </c>
      <c r="X29" s="42">
        <f t="shared" si="12"/>
        <v>7</v>
      </c>
    </row>
    <row r="30" spans="1:25" ht="15.75" customHeight="1" x14ac:dyDescent="0.25">
      <c r="A30" s="57" t="s">
        <v>47</v>
      </c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8"/>
      <c r="P30" s="58"/>
      <c r="Q30" s="58"/>
      <c r="R30" s="58"/>
      <c r="S30" s="58"/>
      <c r="T30" s="58"/>
      <c r="U30" s="58"/>
      <c r="V30" s="58"/>
      <c r="W30" s="58"/>
      <c r="X30" s="59"/>
    </row>
    <row r="31" spans="1:25" ht="27" customHeight="1" x14ac:dyDescent="0.25">
      <c r="A31" s="37" t="s">
        <v>0</v>
      </c>
      <c r="B31" s="4" t="s">
        <v>10</v>
      </c>
      <c r="C31" s="37">
        <v>35.700000000000003</v>
      </c>
      <c r="D31" s="37">
        <v>35.700000000000003</v>
      </c>
      <c r="E31" s="37">
        <v>35.700000000000003</v>
      </c>
      <c r="F31" s="37">
        <v>67</v>
      </c>
      <c r="G31" s="37">
        <v>54</v>
      </c>
      <c r="H31" s="37">
        <v>14</v>
      </c>
      <c r="I31" s="38">
        <f>F31/C31</f>
        <v>1.8767507002801118</v>
      </c>
      <c r="J31" s="38">
        <f t="shared" ref="I31:J36" si="13">G31/D31</f>
        <v>1.5126050420168067</v>
      </c>
      <c r="K31" s="38">
        <f>H31/E31</f>
        <v>0.39215686274509803</v>
      </c>
      <c r="L31" s="36">
        <f>M31*100/H31</f>
        <v>21.428571428571427</v>
      </c>
      <c r="M31" s="37">
        <v>3</v>
      </c>
      <c r="N31" s="7"/>
      <c r="O31" s="39">
        <v>0</v>
      </c>
      <c r="P31" s="39">
        <v>3</v>
      </c>
      <c r="Q31" s="39">
        <v>0</v>
      </c>
      <c r="R31" s="29">
        <v>4</v>
      </c>
      <c r="S31" s="6">
        <v>0</v>
      </c>
      <c r="T31" s="6">
        <v>3</v>
      </c>
      <c r="U31" s="6">
        <v>0</v>
      </c>
      <c r="V31" s="37">
        <v>0</v>
      </c>
      <c r="W31" s="37">
        <v>3</v>
      </c>
      <c r="X31" s="37">
        <v>0</v>
      </c>
    </row>
    <row r="32" spans="1:25" ht="29.25" customHeight="1" x14ac:dyDescent="0.25">
      <c r="A32" s="37" t="s">
        <v>1</v>
      </c>
      <c r="B32" s="4" t="s">
        <v>17</v>
      </c>
      <c r="C32" s="37">
        <v>245.7</v>
      </c>
      <c r="D32" s="37">
        <v>245.7</v>
      </c>
      <c r="E32" s="37">
        <v>245.7</v>
      </c>
      <c r="F32" s="37">
        <v>464</v>
      </c>
      <c r="G32" s="37">
        <v>374</v>
      </c>
      <c r="H32" s="37">
        <v>94</v>
      </c>
      <c r="I32" s="38">
        <f t="shared" ref="I32:I33" si="14">F32/C32</f>
        <v>1.8884818884818886</v>
      </c>
      <c r="J32" s="38">
        <f t="shared" si="13"/>
        <v>1.5221815221815223</v>
      </c>
      <c r="K32" s="38">
        <f t="shared" ref="K32:K36" si="15">H32/E32</f>
        <v>0.38258038258038257</v>
      </c>
      <c r="L32" s="36">
        <f>M32*100/H32</f>
        <v>23.404255319148938</v>
      </c>
      <c r="M32" s="37">
        <v>22</v>
      </c>
      <c r="N32" s="15"/>
      <c r="O32" s="16">
        <v>3</v>
      </c>
      <c r="P32" s="16">
        <v>15</v>
      </c>
      <c r="Q32" s="39">
        <v>4</v>
      </c>
      <c r="R32" s="29">
        <v>19</v>
      </c>
      <c r="S32" s="6">
        <v>2</v>
      </c>
      <c r="T32" s="6">
        <f>R32-8</f>
        <v>11</v>
      </c>
      <c r="U32" s="6">
        <v>6</v>
      </c>
      <c r="V32" s="37">
        <v>2</v>
      </c>
      <c r="W32" s="37">
        <v>16</v>
      </c>
      <c r="X32" s="37">
        <v>4</v>
      </c>
    </row>
    <row r="33" spans="1:24" ht="39" customHeight="1" x14ac:dyDescent="0.25">
      <c r="A33" s="37" t="s">
        <v>2</v>
      </c>
      <c r="B33" s="4" t="s">
        <v>22</v>
      </c>
      <c r="C33" s="37">
        <v>15.3</v>
      </c>
      <c r="D33" s="37">
        <v>15.3</v>
      </c>
      <c r="E33" s="37">
        <v>9.68</v>
      </c>
      <c r="F33" s="37">
        <v>29</v>
      </c>
      <c r="G33" s="37">
        <v>23</v>
      </c>
      <c r="H33" s="37">
        <v>4</v>
      </c>
      <c r="I33" s="38">
        <f t="shared" si="14"/>
        <v>1.8954248366013071</v>
      </c>
      <c r="J33" s="38">
        <f t="shared" si="13"/>
        <v>1.5032679738562091</v>
      </c>
      <c r="K33" s="38">
        <f t="shared" si="15"/>
        <v>0.41322314049586778</v>
      </c>
      <c r="L33" s="36">
        <v>3.8</v>
      </c>
      <c r="M33" s="37">
        <v>1</v>
      </c>
      <c r="N33" s="7"/>
      <c r="O33" s="39">
        <v>0</v>
      </c>
      <c r="P33" s="39">
        <v>1</v>
      </c>
      <c r="Q33" s="39">
        <v>0</v>
      </c>
      <c r="R33" s="29">
        <v>1</v>
      </c>
      <c r="S33" s="6">
        <v>0</v>
      </c>
      <c r="T33" s="6">
        <v>1</v>
      </c>
      <c r="U33" s="6">
        <v>0</v>
      </c>
      <c r="V33" s="37">
        <v>0</v>
      </c>
      <c r="W33" s="37">
        <v>1</v>
      </c>
      <c r="X33" s="37">
        <v>0</v>
      </c>
    </row>
    <row r="34" spans="1:24" ht="18.75" customHeight="1" x14ac:dyDescent="0.25">
      <c r="A34" s="37" t="s">
        <v>67</v>
      </c>
      <c r="B34" s="4" t="s">
        <v>18</v>
      </c>
      <c r="C34" s="37">
        <v>27.5</v>
      </c>
      <c r="D34" s="37">
        <v>27.5</v>
      </c>
      <c r="E34" s="37">
        <v>27.5</v>
      </c>
      <c r="F34" s="37">
        <v>64</v>
      </c>
      <c r="G34" s="37">
        <v>52</v>
      </c>
      <c r="H34" s="37">
        <v>11</v>
      </c>
      <c r="I34" s="38">
        <f t="shared" ref="I34:I35" si="16">F34/C34</f>
        <v>2.3272727272727272</v>
      </c>
      <c r="J34" s="38">
        <f t="shared" si="13"/>
        <v>1.8909090909090909</v>
      </c>
      <c r="K34" s="38">
        <f t="shared" si="15"/>
        <v>0.4</v>
      </c>
      <c r="L34" s="36">
        <f>M34*100/H34</f>
        <v>18.181818181818183</v>
      </c>
      <c r="M34" s="37">
        <v>2</v>
      </c>
      <c r="N34" s="7"/>
      <c r="O34" s="39">
        <v>0</v>
      </c>
      <c r="P34" s="39">
        <v>2</v>
      </c>
      <c r="Q34" s="39">
        <v>0</v>
      </c>
      <c r="R34" s="29">
        <v>3</v>
      </c>
      <c r="S34" s="6">
        <v>1</v>
      </c>
      <c r="T34" s="6">
        <v>3</v>
      </c>
      <c r="U34" s="6">
        <v>1</v>
      </c>
      <c r="V34" s="37">
        <v>0</v>
      </c>
      <c r="W34" s="37">
        <v>2</v>
      </c>
      <c r="X34" s="37">
        <v>0</v>
      </c>
    </row>
    <row r="35" spans="1:24" ht="17.25" customHeight="1" x14ac:dyDescent="0.25">
      <c r="A35" s="37" t="s">
        <v>70</v>
      </c>
      <c r="B35" s="4" t="s">
        <v>14</v>
      </c>
      <c r="C35" s="37">
        <f>C36-C31-C32-C33-C34</f>
        <v>227.5</v>
      </c>
      <c r="D35" s="37">
        <f>D36-D31-D32-D33-D34</f>
        <v>227.5</v>
      </c>
      <c r="E35" s="5" t="e">
        <f>E36-#REF!-E31-E32-E33-#REF!-E34</f>
        <v>#REF!</v>
      </c>
      <c r="F35" s="37">
        <f>F36-F31-F32-F33-F34</f>
        <v>417</v>
      </c>
      <c r="G35" s="37">
        <v>429</v>
      </c>
      <c r="H35" s="37" t="e">
        <f>H36-#REF!-H31-H32-H33-#REF!-H34</f>
        <v>#REF!</v>
      </c>
      <c r="I35" s="38">
        <f t="shared" si="16"/>
        <v>1.8329670329670329</v>
      </c>
      <c r="J35" s="38">
        <f t="shared" si="13"/>
        <v>1.8857142857142857</v>
      </c>
      <c r="K35" s="38" t="e">
        <f t="shared" si="15"/>
        <v>#REF!</v>
      </c>
      <c r="L35" s="36" t="e">
        <f>M35*100/H35</f>
        <v>#REF!</v>
      </c>
      <c r="M35" s="37">
        <v>12</v>
      </c>
      <c r="N35" s="7"/>
      <c r="O35" s="39">
        <v>2</v>
      </c>
      <c r="P35" s="39">
        <v>8</v>
      </c>
      <c r="Q35" s="39">
        <v>2</v>
      </c>
      <c r="R35" s="6"/>
      <c r="S35" s="6"/>
      <c r="T35" s="6"/>
      <c r="U35" s="6"/>
      <c r="V35" s="37">
        <v>2</v>
      </c>
      <c r="W35" s="37">
        <v>8</v>
      </c>
      <c r="X35" s="37">
        <v>2</v>
      </c>
    </row>
    <row r="36" spans="1:24" s="23" customFormat="1" ht="16.5" customHeight="1" x14ac:dyDescent="0.25">
      <c r="A36" s="52" t="s">
        <v>104</v>
      </c>
      <c r="B36" s="52"/>
      <c r="C36" s="42">
        <v>551.70000000000005</v>
      </c>
      <c r="D36" s="42">
        <v>551.70000000000005</v>
      </c>
      <c r="E36" s="42">
        <v>494.2</v>
      </c>
      <c r="F36" s="42">
        <v>1041</v>
      </c>
      <c r="G36" s="42">
        <v>839</v>
      </c>
      <c r="H36" s="42">
        <v>193</v>
      </c>
      <c r="I36" s="18">
        <f t="shared" si="13"/>
        <v>1.8868950516585099</v>
      </c>
      <c r="J36" s="18">
        <f t="shared" si="13"/>
        <v>1.5207540329889431</v>
      </c>
      <c r="K36" s="18">
        <f t="shared" si="15"/>
        <v>0.39053014973694861</v>
      </c>
      <c r="L36" s="24">
        <f>M36*100/H36</f>
        <v>20.725388601036268</v>
      </c>
      <c r="M36" s="42">
        <f>SUM(M31:M35)</f>
        <v>40</v>
      </c>
      <c r="N36" s="19">
        <v>0</v>
      </c>
      <c r="O36" s="42">
        <f>SUM(O31:O35)</f>
        <v>5</v>
      </c>
      <c r="P36" s="42">
        <f>SUM(P31:P35)</f>
        <v>29</v>
      </c>
      <c r="Q36" s="42">
        <f>SUM(Q31:Q35)</f>
        <v>6</v>
      </c>
      <c r="R36" s="6"/>
      <c r="S36" s="6"/>
      <c r="T36" s="6"/>
      <c r="U36" s="6"/>
      <c r="V36" s="42">
        <f t="shared" ref="V36:X36" si="17">SUM(V31:V35)</f>
        <v>4</v>
      </c>
      <c r="W36" s="42">
        <f t="shared" si="17"/>
        <v>30</v>
      </c>
      <c r="X36" s="42">
        <f t="shared" si="17"/>
        <v>6</v>
      </c>
    </row>
    <row r="37" spans="1:24" ht="12" customHeight="1" x14ac:dyDescent="0.25">
      <c r="A37" s="57" t="s">
        <v>69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9"/>
    </row>
    <row r="38" spans="1:24" ht="14.25" customHeight="1" x14ac:dyDescent="0.25">
      <c r="A38" s="37" t="s">
        <v>0</v>
      </c>
      <c r="B38" s="4" t="s">
        <v>14</v>
      </c>
      <c r="C38" s="37">
        <v>206.4</v>
      </c>
      <c r="D38" s="5">
        <v>206.4</v>
      </c>
      <c r="E38" s="5">
        <v>254.8</v>
      </c>
      <c r="F38" s="37" t="e">
        <f>F39-#REF!</f>
        <v>#REF!</v>
      </c>
      <c r="G38" s="37" t="e">
        <f>G39-#REF!</f>
        <v>#REF!</v>
      </c>
      <c r="H38" s="37">
        <v>40</v>
      </c>
      <c r="I38" s="38" t="e">
        <f t="shared" ref="I38:I39" si="18">F38/C38</f>
        <v>#REF!</v>
      </c>
      <c r="J38" s="38" t="e">
        <f t="shared" ref="J38:J39" si="19">G38/D38</f>
        <v>#REF!</v>
      </c>
      <c r="K38" s="38">
        <f>H38/E38</f>
        <v>0.15698587127158556</v>
      </c>
      <c r="L38" s="36">
        <f>M38*100/H38</f>
        <v>52.5</v>
      </c>
      <c r="M38" s="37">
        <v>21</v>
      </c>
      <c r="N38" s="7"/>
      <c r="O38" s="39">
        <v>3</v>
      </c>
      <c r="P38" s="39">
        <v>11</v>
      </c>
      <c r="Q38" s="39">
        <v>3</v>
      </c>
      <c r="R38" s="6"/>
      <c r="S38" s="6"/>
      <c r="T38" s="6"/>
      <c r="U38" s="6"/>
      <c r="V38" s="37">
        <v>4</v>
      </c>
      <c r="W38" s="37">
        <v>13</v>
      </c>
      <c r="X38" s="37">
        <v>4</v>
      </c>
    </row>
    <row r="39" spans="1:24" s="23" customFormat="1" x14ac:dyDescent="0.25">
      <c r="A39" s="52" t="s">
        <v>73</v>
      </c>
      <c r="B39" s="52"/>
      <c r="C39" s="42">
        <f>SUM(C38:C38)</f>
        <v>206.4</v>
      </c>
      <c r="D39" s="42">
        <f>SUM(D38:D38)</f>
        <v>206.4</v>
      </c>
      <c r="E39" s="42">
        <f>SUM(E38:E38)</f>
        <v>254.8</v>
      </c>
      <c r="F39" s="42">
        <v>392</v>
      </c>
      <c r="G39" s="42">
        <v>395</v>
      </c>
      <c r="H39" s="42">
        <v>40</v>
      </c>
      <c r="I39" s="18">
        <f t="shared" si="18"/>
        <v>1.8992248062015504</v>
      </c>
      <c r="J39" s="18">
        <f t="shared" si="19"/>
        <v>1.9137596899224805</v>
      </c>
      <c r="K39" s="18">
        <f>H39/E39</f>
        <v>0.15698587127158556</v>
      </c>
      <c r="L39" s="24">
        <f>M39*100/H39</f>
        <v>52.5</v>
      </c>
      <c r="M39" s="42">
        <f>SUM(M38:M38)</f>
        <v>21</v>
      </c>
      <c r="N39" s="19">
        <v>0</v>
      </c>
      <c r="O39" s="42">
        <f>SUM(O38:O38)</f>
        <v>3</v>
      </c>
      <c r="P39" s="42">
        <f>SUM(P38:P38)</f>
        <v>11</v>
      </c>
      <c r="Q39" s="42">
        <f>SUM(Q38:Q38)</f>
        <v>3</v>
      </c>
      <c r="R39" s="6"/>
      <c r="S39" s="6"/>
      <c r="T39" s="6"/>
      <c r="U39" s="6"/>
      <c r="V39" s="42">
        <f>SUM(V38:V38)</f>
        <v>4</v>
      </c>
      <c r="W39" s="42">
        <f>SUM(W38:W38)</f>
        <v>13</v>
      </c>
      <c r="X39" s="42">
        <f>SUM(X38:X38)</f>
        <v>4</v>
      </c>
    </row>
    <row r="40" spans="1:24" s="23" customFormat="1" ht="15.75" customHeight="1" x14ac:dyDescent="0.25">
      <c r="A40" s="57" t="s">
        <v>48</v>
      </c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9"/>
    </row>
    <row r="41" spans="1:24" ht="32.25" customHeight="1" x14ac:dyDescent="0.25">
      <c r="A41" s="37" t="s">
        <v>0</v>
      </c>
      <c r="B41" s="4" t="s">
        <v>10</v>
      </c>
      <c r="C41" s="37">
        <v>78</v>
      </c>
      <c r="D41" s="37">
        <v>49.1</v>
      </c>
      <c r="E41" s="5">
        <v>49.1</v>
      </c>
      <c r="F41" s="37">
        <v>284</v>
      </c>
      <c r="G41" s="37">
        <v>158</v>
      </c>
      <c r="H41" s="37">
        <v>17</v>
      </c>
      <c r="I41" s="38">
        <f t="shared" ref="I41:I50" si="20">F41/C41</f>
        <v>3.641025641025641</v>
      </c>
      <c r="J41" s="38">
        <f t="shared" ref="J41:J50" si="21">G41/D41</f>
        <v>3.2179226069246436</v>
      </c>
      <c r="K41" s="38">
        <f t="shared" ref="K41:K50" si="22">H41/E41</f>
        <v>0.34623217922606925</v>
      </c>
      <c r="L41" s="36">
        <f>M41*100/H41</f>
        <v>64.705882352941174</v>
      </c>
      <c r="M41" s="37">
        <v>11</v>
      </c>
      <c r="N41" s="7"/>
      <c r="O41" s="39">
        <v>2</v>
      </c>
      <c r="P41" s="39">
        <v>7</v>
      </c>
      <c r="Q41" s="39">
        <v>2</v>
      </c>
      <c r="R41" s="29">
        <v>3</v>
      </c>
      <c r="S41" s="6">
        <v>2</v>
      </c>
      <c r="T41" s="6">
        <v>18</v>
      </c>
      <c r="U41" s="6">
        <v>4</v>
      </c>
      <c r="V41" s="37">
        <v>2</v>
      </c>
      <c r="W41" s="37">
        <v>7</v>
      </c>
      <c r="X41" s="37">
        <v>2</v>
      </c>
    </row>
    <row r="42" spans="1:24" ht="27" customHeight="1" x14ac:dyDescent="0.25">
      <c r="A42" s="37" t="s">
        <v>1</v>
      </c>
      <c r="B42" s="4" t="s">
        <v>61</v>
      </c>
      <c r="C42" s="37">
        <v>85.3</v>
      </c>
      <c r="D42" s="37">
        <v>70.099999999999994</v>
      </c>
      <c r="E42" s="37">
        <v>70.099999999999994</v>
      </c>
      <c r="F42" s="37">
        <v>323</v>
      </c>
      <c r="G42" s="37">
        <v>225</v>
      </c>
      <c r="H42" s="37">
        <v>24</v>
      </c>
      <c r="I42" s="38">
        <f t="shared" si="20"/>
        <v>3.7866354044548651</v>
      </c>
      <c r="J42" s="38">
        <f t="shared" si="21"/>
        <v>3.2097004279600574</v>
      </c>
      <c r="K42" s="38">
        <f t="shared" si="22"/>
        <v>0.34236804564907281</v>
      </c>
      <c r="L42" s="36">
        <f>M42*100/H42</f>
        <v>70.833333333333329</v>
      </c>
      <c r="M42" s="37">
        <v>17</v>
      </c>
      <c r="N42" s="7"/>
      <c r="O42" s="39">
        <v>4</v>
      </c>
      <c r="P42" s="39">
        <v>10</v>
      </c>
      <c r="Q42" s="39">
        <v>3</v>
      </c>
      <c r="R42" s="29">
        <v>3</v>
      </c>
      <c r="S42" s="6">
        <v>3</v>
      </c>
      <c r="T42" s="6">
        <v>18</v>
      </c>
      <c r="U42" s="6">
        <v>7</v>
      </c>
      <c r="V42" s="37">
        <v>3</v>
      </c>
      <c r="W42" s="37">
        <v>11</v>
      </c>
      <c r="X42" s="37">
        <v>3</v>
      </c>
    </row>
    <row r="43" spans="1:24" ht="40.5" customHeight="1" x14ac:dyDescent="0.25">
      <c r="A43" s="37" t="s">
        <v>2</v>
      </c>
      <c r="B43" s="4" t="s">
        <v>19</v>
      </c>
      <c r="C43" s="37">
        <v>20.2</v>
      </c>
      <c r="D43" s="37">
        <v>19.100000000000001</v>
      </c>
      <c r="E43" s="37">
        <v>19.100000000000001</v>
      </c>
      <c r="F43" s="37">
        <v>77</v>
      </c>
      <c r="G43" s="37">
        <v>61</v>
      </c>
      <c r="H43" s="37">
        <v>7</v>
      </c>
      <c r="I43" s="38">
        <f t="shared" si="20"/>
        <v>3.8118811881188122</v>
      </c>
      <c r="J43" s="38">
        <f t="shared" si="21"/>
        <v>3.1937172774869107</v>
      </c>
      <c r="K43" s="38">
        <f t="shared" si="22"/>
        <v>0.36649214659685864</v>
      </c>
      <c r="L43" s="36">
        <f>M43*100/H43</f>
        <v>57.142857142857146</v>
      </c>
      <c r="M43" s="37">
        <v>4</v>
      </c>
      <c r="N43" s="7"/>
      <c r="O43" s="39">
        <v>1</v>
      </c>
      <c r="P43" s="39">
        <v>3</v>
      </c>
      <c r="Q43" s="39">
        <v>0</v>
      </c>
      <c r="R43" s="29">
        <v>2</v>
      </c>
      <c r="S43" s="6">
        <v>0</v>
      </c>
      <c r="T43" s="6">
        <v>7</v>
      </c>
      <c r="U43" s="6">
        <v>3</v>
      </c>
      <c r="V43" s="37">
        <v>0</v>
      </c>
      <c r="W43" s="37">
        <v>4</v>
      </c>
      <c r="X43" s="37">
        <v>0</v>
      </c>
    </row>
    <row r="44" spans="1:24" ht="15.75" customHeight="1" x14ac:dyDescent="0.25">
      <c r="A44" s="37" t="s">
        <v>67</v>
      </c>
      <c r="B44" s="4" t="s">
        <v>11</v>
      </c>
      <c r="C44" s="37">
        <v>32.200000000000003</v>
      </c>
      <c r="D44" s="37">
        <f>D45-D41-D42-D43</f>
        <v>63.9</v>
      </c>
      <c r="E44" s="5" t="e">
        <f>E45-#REF!-E41-E42-E43</f>
        <v>#REF!</v>
      </c>
      <c r="F44" s="37">
        <v>129</v>
      </c>
      <c r="G44" s="37">
        <v>205</v>
      </c>
      <c r="H44" s="37" t="e">
        <f>H45-#REF!-H41-H42-H43</f>
        <v>#REF!</v>
      </c>
      <c r="I44" s="38">
        <f>F44/C44</f>
        <v>4.0062111801242235</v>
      </c>
      <c r="J44" s="38">
        <f>G44/D44</f>
        <v>3.2081377151799688</v>
      </c>
      <c r="K44" s="38" t="e">
        <f>H44/E44</f>
        <v>#REF!</v>
      </c>
      <c r="L44" s="36" t="e">
        <f>M44*100/H44</f>
        <v>#REF!</v>
      </c>
      <c r="M44" s="37">
        <v>14</v>
      </c>
      <c r="N44" s="7"/>
      <c r="O44" s="39">
        <v>2</v>
      </c>
      <c r="P44" s="39">
        <v>10</v>
      </c>
      <c r="Q44" s="39">
        <v>2</v>
      </c>
      <c r="R44" s="6"/>
      <c r="S44" s="6"/>
      <c r="T44" s="6"/>
      <c r="U44" s="6"/>
      <c r="V44" s="37">
        <v>2</v>
      </c>
      <c r="W44" s="37">
        <v>10</v>
      </c>
      <c r="X44" s="37">
        <v>2</v>
      </c>
    </row>
    <row r="45" spans="1:24" s="23" customFormat="1" x14ac:dyDescent="0.25">
      <c r="A45" s="52" t="s">
        <v>73</v>
      </c>
      <c r="B45" s="52"/>
      <c r="C45" s="42">
        <v>202.2</v>
      </c>
      <c r="D45" s="42">
        <v>202.2</v>
      </c>
      <c r="E45" s="42">
        <v>202.2</v>
      </c>
      <c r="F45" s="42">
        <f>SUM(F41:F44)</f>
        <v>813</v>
      </c>
      <c r="G45" s="42">
        <f>SUM(G41:G44)</f>
        <v>649</v>
      </c>
      <c r="H45" s="42">
        <v>70</v>
      </c>
      <c r="I45" s="18">
        <f t="shared" si="20"/>
        <v>4.0207715133531163</v>
      </c>
      <c r="J45" s="18">
        <f t="shared" si="21"/>
        <v>3.209693372898121</v>
      </c>
      <c r="K45" s="18">
        <f t="shared" si="22"/>
        <v>0.34619188921859545</v>
      </c>
      <c r="L45" s="24">
        <f>M45*100/H45</f>
        <v>65.714285714285708</v>
      </c>
      <c r="M45" s="42">
        <f>SUM(M41:M44)</f>
        <v>46</v>
      </c>
      <c r="N45" s="19">
        <v>0</v>
      </c>
      <c r="O45" s="22">
        <f>SUM(O41:O44)</f>
        <v>9</v>
      </c>
      <c r="P45" s="22">
        <f>SUM(P41:P44)</f>
        <v>30</v>
      </c>
      <c r="Q45" s="22">
        <f>SUM(Q41:Q44)</f>
        <v>7</v>
      </c>
      <c r="R45" s="6"/>
      <c r="S45" s="6"/>
      <c r="T45" s="6"/>
      <c r="U45" s="6"/>
      <c r="V45" s="42">
        <f>SUM(V41:V44)</f>
        <v>7</v>
      </c>
      <c r="W45" s="42">
        <f>SUM(W41:W44)</f>
        <v>32</v>
      </c>
      <c r="X45" s="42">
        <f>SUM(X41:X44)</f>
        <v>7</v>
      </c>
    </row>
    <row r="46" spans="1:24" s="23" customFormat="1" ht="15.75" customHeight="1" x14ac:dyDescent="0.25">
      <c r="A46" s="53" t="s">
        <v>49</v>
      </c>
      <c r="B46" s="53"/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6"/>
      <c r="S46" s="6"/>
      <c r="T46" s="6"/>
      <c r="U46" s="6"/>
      <c r="V46" s="37"/>
      <c r="W46" s="37"/>
      <c r="X46" s="37"/>
    </row>
    <row r="47" spans="1:24" ht="26.25" customHeight="1" x14ac:dyDescent="0.25">
      <c r="A47" s="37" t="s">
        <v>0</v>
      </c>
      <c r="B47" s="4" t="s">
        <v>10</v>
      </c>
      <c r="C47" s="37">
        <v>175.2</v>
      </c>
      <c r="D47" s="37">
        <v>175.2</v>
      </c>
      <c r="E47" s="37">
        <v>161.85</v>
      </c>
      <c r="F47" s="37">
        <v>204</v>
      </c>
      <c r="G47" s="37">
        <v>181</v>
      </c>
      <c r="H47" s="37">
        <v>27</v>
      </c>
      <c r="I47" s="38">
        <f t="shared" si="20"/>
        <v>1.1643835616438356</v>
      </c>
      <c r="J47" s="38">
        <f t="shared" si="21"/>
        <v>1.0331050228310503</v>
      </c>
      <c r="K47" s="38">
        <f>H47/E47</f>
        <v>0.16682113067655238</v>
      </c>
      <c r="L47" s="36">
        <v>2.6</v>
      </c>
      <c r="M47" s="7">
        <f>H47*0.15</f>
        <v>4.05</v>
      </c>
      <c r="N47" s="7"/>
      <c r="O47" s="39">
        <v>1</v>
      </c>
      <c r="P47" s="39">
        <v>3</v>
      </c>
      <c r="Q47" s="39">
        <v>0</v>
      </c>
      <c r="R47" s="29">
        <v>4</v>
      </c>
      <c r="S47" s="6">
        <v>1</v>
      </c>
      <c r="T47" s="6">
        <v>8</v>
      </c>
      <c r="U47" s="6">
        <v>2</v>
      </c>
      <c r="V47" s="37">
        <v>0</v>
      </c>
      <c r="W47" s="37">
        <v>4</v>
      </c>
      <c r="X47" s="37">
        <v>0</v>
      </c>
    </row>
    <row r="48" spans="1:24" ht="30" customHeight="1" x14ac:dyDescent="0.25">
      <c r="A48" s="37" t="s">
        <v>97</v>
      </c>
      <c r="B48" s="4" t="s">
        <v>20</v>
      </c>
      <c r="C48" s="37">
        <v>71.599999999999994</v>
      </c>
      <c r="D48" s="37">
        <v>71.599999999999994</v>
      </c>
      <c r="E48" s="37">
        <v>71.599999999999994</v>
      </c>
      <c r="F48" s="37">
        <v>83</v>
      </c>
      <c r="G48" s="37">
        <v>74</v>
      </c>
      <c r="H48" s="37">
        <v>14</v>
      </c>
      <c r="I48" s="38">
        <f t="shared" si="20"/>
        <v>1.1592178770949721</v>
      </c>
      <c r="J48" s="38">
        <f t="shared" si="21"/>
        <v>1.0335195530726258</v>
      </c>
      <c r="K48" s="38">
        <f t="shared" si="22"/>
        <v>0.19553072625698326</v>
      </c>
      <c r="L48" s="36">
        <v>2.94</v>
      </c>
      <c r="M48" s="7">
        <f>H48*0.15</f>
        <v>2.1</v>
      </c>
      <c r="N48" s="15"/>
      <c r="O48" s="16">
        <v>0</v>
      </c>
      <c r="P48" s="39">
        <v>2</v>
      </c>
      <c r="Q48" s="39">
        <v>0</v>
      </c>
      <c r="R48" s="30">
        <v>4</v>
      </c>
      <c r="S48" s="6">
        <v>1</v>
      </c>
      <c r="T48" s="6">
        <v>4</v>
      </c>
      <c r="U48" s="6">
        <v>1</v>
      </c>
      <c r="V48" s="37">
        <v>0</v>
      </c>
      <c r="W48" s="37">
        <v>2</v>
      </c>
      <c r="X48" s="37">
        <v>0</v>
      </c>
    </row>
    <row r="49" spans="1:24" ht="17.25" customHeight="1" x14ac:dyDescent="0.25">
      <c r="A49" s="37" t="s">
        <v>68</v>
      </c>
      <c r="B49" s="4" t="s">
        <v>11</v>
      </c>
      <c r="C49" s="37" t="e">
        <f>C50-C47-#REF!-C48-#REF!</f>
        <v>#REF!</v>
      </c>
      <c r="D49" s="37" t="e">
        <f>D50-D47-#REF!-D48-#REF!</f>
        <v>#REF!</v>
      </c>
      <c r="E49" s="37" t="e">
        <f>E50-#REF!-E47-E48</f>
        <v>#REF!</v>
      </c>
      <c r="F49" s="37" t="e">
        <f>F50-F47-#REF!-F48-#REF!</f>
        <v>#REF!</v>
      </c>
      <c r="G49" s="37" t="e">
        <f>G50-G47-#REF!-G48</f>
        <v>#REF!</v>
      </c>
      <c r="H49" s="37" t="e">
        <f>H50-H47-#REF!-H48</f>
        <v>#REF!</v>
      </c>
      <c r="I49" s="38" t="e">
        <f t="shared" si="20"/>
        <v>#REF!</v>
      </c>
      <c r="J49" s="38" t="e">
        <f t="shared" si="21"/>
        <v>#REF!</v>
      </c>
      <c r="K49" s="38" t="e">
        <f t="shared" si="22"/>
        <v>#REF!</v>
      </c>
      <c r="L49" s="36">
        <v>2.99</v>
      </c>
      <c r="M49" s="7">
        <v>43</v>
      </c>
      <c r="N49" s="7"/>
      <c r="O49" s="39">
        <v>6</v>
      </c>
      <c r="P49" s="39">
        <v>29</v>
      </c>
      <c r="Q49" s="39">
        <v>8</v>
      </c>
      <c r="R49" s="6"/>
      <c r="S49" s="6"/>
      <c r="T49" s="6"/>
      <c r="U49" s="6"/>
      <c r="V49" s="37">
        <v>6</v>
      </c>
      <c r="W49" s="37">
        <v>29</v>
      </c>
      <c r="X49" s="37">
        <v>8</v>
      </c>
    </row>
    <row r="50" spans="1:24" s="23" customFormat="1" x14ac:dyDescent="0.25">
      <c r="A50" s="52" t="s">
        <v>74</v>
      </c>
      <c r="B50" s="52"/>
      <c r="C50" s="42">
        <v>1743.3</v>
      </c>
      <c r="D50" s="42">
        <v>1743.3</v>
      </c>
      <c r="E50" s="42">
        <v>1743.3</v>
      </c>
      <c r="F50" s="42">
        <v>2032</v>
      </c>
      <c r="G50" s="42">
        <v>1801</v>
      </c>
      <c r="H50" s="42">
        <v>280</v>
      </c>
      <c r="I50" s="18">
        <f t="shared" si="20"/>
        <v>1.1656054609074744</v>
      </c>
      <c r="J50" s="18">
        <f t="shared" si="21"/>
        <v>1.033098147192107</v>
      </c>
      <c r="K50" s="18">
        <f t="shared" si="22"/>
        <v>0.16061492571559685</v>
      </c>
      <c r="L50" s="24">
        <f>M50*100/H50</f>
        <v>17.553571428571427</v>
      </c>
      <c r="M50" s="19">
        <f>M49+M48+M47</f>
        <v>49.15</v>
      </c>
      <c r="N50" s="19">
        <v>0</v>
      </c>
      <c r="O50" s="42">
        <f>SUM(O47:O49)</f>
        <v>7</v>
      </c>
      <c r="P50" s="42">
        <f>SUM(P47:P49)</f>
        <v>34</v>
      </c>
      <c r="Q50" s="42">
        <f>SUM(Q47:Q49)</f>
        <v>8</v>
      </c>
      <c r="R50" s="6"/>
      <c r="S50" s="6"/>
      <c r="T50" s="6"/>
      <c r="U50" s="6"/>
      <c r="V50" s="19">
        <f t="shared" ref="V50:X50" si="23">V49+V48+V47</f>
        <v>6</v>
      </c>
      <c r="W50" s="19">
        <f t="shared" si="23"/>
        <v>35</v>
      </c>
      <c r="X50" s="19">
        <f t="shared" si="23"/>
        <v>8</v>
      </c>
    </row>
    <row r="51" spans="1:24" s="23" customFormat="1" ht="15.75" customHeight="1" x14ac:dyDescent="0.25">
      <c r="A51" s="57" t="s">
        <v>50</v>
      </c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9"/>
    </row>
    <row r="52" spans="1:24" ht="27.75" customHeight="1" x14ac:dyDescent="0.25">
      <c r="A52" s="37" t="s">
        <v>0</v>
      </c>
      <c r="B52" s="4" t="s">
        <v>10</v>
      </c>
      <c r="C52" s="37">
        <v>151.69999999999999</v>
      </c>
      <c r="D52" s="37">
        <v>151.69999999999999</v>
      </c>
      <c r="E52" s="37">
        <v>151.69999999999999</v>
      </c>
      <c r="F52" s="37">
        <v>210</v>
      </c>
      <c r="G52" s="37">
        <v>206</v>
      </c>
      <c r="H52" s="37">
        <v>47</v>
      </c>
      <c r="I52" s="38">
        <f>F52/C52</f>
        <v>1.3843111404087014</v>
      </c>
      <c r="J52" s="38">
        <f t="shared" ref="J52:J57" si="24">G52/D52</f>
        <v>1.3579433091628215</v>
      </c>
      <c r="K52" s="38">
        <f t="shared" ref="K52:K57" si="25">H52/E52</f>
        <v>0.30982201713909036</v>
      </c>
      <c r="L52" s="36">
        <f t="shared" ref="L52:L57" si="26">M52*100/H52</f>
        <v>21.276595744680851</v>
      </c>
      <c r="M52" s="37">
        <v>10</v>
      </c>
      <c r="N52" s="7"/>
      <c r="O52" s="39">
        <v>1</v>
      </c>
      <c r="P52" s="39">
        <v>7</v>
      </c>
      <c r="Q52" s="39">
        <v>2</v>
      </c>
      <c r="R52" s="29">
        <v>12</v>
      </c>
      <c r="S52" s="6">
        <v>1</v>
      </c>
      <c r="T52" s="6">
        <v>9</v>
      </c>
      <c r="U52" s="6">
        <v>2</v>
      </c>
      <c r="V52" s="37">
        <v>1</v>
      </c>
      <c r="W52" s="37">
        <v>7</v>
      </c>
      <c r="X52" s="37">
        <v>2</v>
      </c>
    </row>
    <row r="53" spans="1:24" ht="44.25" customHeight="1" x14ac:dyDescent="0.25">
      <c r="A53" s="37" t="s">
        <v>1</v>
      </c>
      <c r="B53" s="4" t="s">
        <v>76</v>
      </c>
      <c r="C53" s="37">
        <v>127.1</v>
      </c>
      <c r="D53" s="37">
        <v>127.1</v>
      </c>
      <c r="E53" s="37">
        <v>127.1</v>
      </c>
      <c r="F53" s="37">
        <v>176</v>
      </c>
      <c r="G53" s="37">
        <v>172</v>
      </c>
      <c r="H53" s="37">
        <v>38</v>
      </c>
      <c r="I53" s="38">
        <f>F53/C53</f>
        <v>1.3847364280094414</v>
      </c>
      <c r="J53" s="38">
        <f t="shared" si="24"/>
        <v>1.3532651455546814</v>
      </c>
      <c r="K53" s="38">
        <f t="shared" si="25"/>
        <v>0.29897718332022033</v>
      </c>
      <c r="L53" s="36">
        <f t="shared" si="26"/>
        <v>21.05263157894737</v>
      </c>
      <c r="M53" s="37">
        <v>8</v>
      </c>
      <c r="N53" s="7"/>
      <c r="O53" s="39">
        <v>2</v>
      </c>
      <c r="P53" s="39">
        <v>5</v>
      </c>
      <c r="Q53" s="39">
        <v>1</v>
      </c>
      <c r="R53" s="29">
        <v>5</v>
      </c>
      <c r="S53" s="6">
        <v>2</v>
      </c>
      <c r="T53" s="6">
        <v>9</v>
      </c>
      <c r="U53" s="6">
        <v>3</v>
      </c>
      <c r="V53" s="37">
        <v>1</v>
      </c>
      <c r="W53" s="37">
        <v>6</v>
      </c>
      <c r="X53" s="37">
        <v>1</v>
      </c>
    </row>
    <row r="54" spans="1:24" ht="30.75" customHeight="1" x14ac:dyDescent="0.25">
      <c r="A54" s="37" t="s">
        <v>68</v>
      </c>
      <c r="B54" s="4" t="s">
        <v>21</v>
      </c>
      <c r="C54" s="37">
        <v>315.5</v>
      </c>
      <c r="D54" s="37">
        <v>315.5</v>
      </c>
      <c r="E54" s="37">
        <v>315.5</v>
      </c>
      <c r="F54" s="37">
        <v>438</v>
      </c>
      <c r="G54" s="37">
        <v>428</v>
      </c>
      <c r="H54" s="37">
        <v>95</v>
      </c>
      <c r="I54" s="38">
        <f t="shared" ref="I54:I57" si="27">F54/C54</f>
        <v>1.3882725832012679</v>
      </c>
      <c r="J54" s="38">
        <f t="shared" si="24"/>
        <v>1.3565768621236134</v>
      </c>
      <c r="K54" s="38">
        <f t="shared" si="25"/>
        <v>0.3011093502377179</v>
      </c>
      <c r="L54" s="36">
        <f t="shared" si="26"/>
        <v>22.105263157894736</v>
      </c>
      <c r="M54" s="37">
        <v>21</v>
      </c>
      <c r="N54" s="7"/>
      <c r="O54" s="39">
        <v>3</v>
      </c>
      <c r="P54" s="39">
        <v>14</v>
      </c>
      <c r="Q54" s="39">
        <v>4</v>
      </c>
      <c r="R54" s="29">
        <v>8</v>
      </c>
      <c r="S54" s="6">
        <v>4</v>
      </c>
      <c r="T54" s="6">
        <v>15</v>
      </c>
      <c r="U54" s="6">
        <v>3</v>
      </c>
      <c r="V54" s="37">
        <v>3</v>
      </c>
      <c r="W54" s="37">
        <v>14</v>
      </c>
      <c r="X54" s="37">
        <v>4</v>
      </c>
    </row>
    <row r="55" spans="1:24" ht="42" customHeight="1" x14ac:dyDescent="0.25">
      <c r="A55" s="37" t="s">
        <v>67</v>
      </c>
      <c r="B55" s="4" t="s">
        <v>22</v>
      </c>
      <c r="C55" s="37">
        <v>17.5</v>
      </c>
      <c r="D55" s="37">
        <v>17.5</v>
      </c>
      <c r="E55" s="37">
        <v>17.5</v>
      </c>
      <c r="F55" s="37">
        <v>24</v>
      </c>
      <c r="G55" s="37">
        <v>24</v>
      </c>
      <c r="H55" s="37">
        <v>7</v>
      </c>
      <c r="I55" s="38">
        <f t="shared" si="27"/>
        <v>1.3714285714285714</v>
      </c>
      <c r="J55" s="38">
        <f t="shared" si="24"/>
        <v>1.3714285714285714</v>
      </c>
      <c r="K55" s="38">
        <f t="shared" si="25"/>
        <v>0.4</v>
      </c>
      <c r="L55" s="36">
        <f t="shared" si="26"/>
        <v>14.285714285714286</v>
      </c>
      <c r="M55" s="37">
        <v>1</v>
      </c>
      <c r="N55" s="7"/>
      <c r="O55" s="39">
        <v>0</v>
      </c>
      <c r="P55" s="39">
        <v>1</v>
      </c>
      <c r="Q55" s="39">
        <v>0</v>
      </c>
      <c r="R55" s="29">
        <v>2</v>
      </c>
      <c r="S55" s="6">
        <v>0</v>
      </c>
      <c r="T55" s="6">
        <v>1</v>
      </c>
      <c r="U55" s="6">
        <v>0</v>
      </c>
      <c r="V55" s="37">
        <v>0</v>
      </c>
      <c r="W55" s="37">
        <v>1</v>
      </c>
      <c r="X55" s="37">
        <v>0</v>
      </c>
    </row>
    <row r="56" spans="1:24" x14ac:dyDescent="0.25">
      <c r="A56" s="37" t="s">
        <v>70</v>
      </c>
      <c r="B56" s="4" t="s">
        <v>14</v>
      </c>
      <c r="C56" s="37">
        <v>534.4</v>
      </c>
      <c r="D56" s="37">
        <v>627</v>
      </c>
      <c r="E56" s="5" t="e">
        <f>E57-E52-E53-E54-E55-#REF!</f>
        <v>#REF!</v>
      </c>
      <c r="F56" s="37" t="e">
        <f>F57-F52-F53-#REF!-F54-F55</f>
        <v>#REF!</v>
      </c>
      <c r="G56" s="37">
        <f>G57-G52-G53-G54-G55</f>
        <v>849</v>
      </c>
      <c r="H56" s="37" t="e">
        <f>H57-H52-H53-H54-H55-#REF!</f>
        <v>#REF!</v>
      </c>
      <c r="I56" s="38" t="e">
        <f t="shared" si="27"/>
        <v>#REF!</v>
      </c>
      <c r="J56" s="38">
        <f t="shared" si="24"/>
        <v>1.3540669856459331</v>
      </c>
      <c r="K56" s="38" t="e">
        <f t="shared" si="25"/>
        <v>#REF!</v>
      </c>
      <c r="L56" s="36" t="e">
        <f t="shared" si="26"/>
        <v>#REF!</v>
      </c>
      <c r="M56" s="37">
        <v>31</v>
      </c>
      <c r="N56" s="7"/>
      <c r="O56" s="39">
        <v>5</v>
      </c>
      <c r="P56" s="39">
        <v>25</v>
      </c>
      <c r="Q56" s="39">
        <v>7</v>
      </c>
      <c r="R56" s="6"/>
      <c r="S56" s="6"/>
      <c r="T56" s="6"/>
      <c r="U56" s="6"/>
      <c r="V56" s="37">
        <v>7</v>
      </c>
      <c r="W56" s="37">
        <v>18</v>
      </c>
      <c r="X56" s="37">
        <v>6</v>
      </c>
    </row>
    <row r="57" spans="1:24" s="23" customFormat="1" x14ac:dyDescent="0.25">
      <c r="A57" s="52" t="s">
        <v>73</v>
      </c>
      <c r="B57" s="52"/>
      <c r="C57" s="42">
        <f>SUM(C52:C56)</f>
        <v>1146.1999999999998</v>
      </c>
      <c r="D57" s="42">
        <f>SUM(D52:D56)</f>
        <v>1238.8</v>
      </c>
      <c r="E57" s="17">
        <v>1158.2</v>
      </c>
      <c r="F57" s="42">
        <v>1718</v>
      </c>
      <c r="G57" s="42">
        <v>1679</v>
      </c>
      <c r="H57" s="42">
        <v>350</v>
      </c>
      <c r="I57" s="18">
        <f t="shared" si="27"/>
        <v>1.4988658174838601</v>
      </c>
      <c r="J57" s="18">
        <f t="shared" si="24"/>
        <v>1.3553438811753311</v>
      </c>
      <c r="K57" s="18">
        <f t="shared" si="25"/>
        <v>0.30219305819374892</v>
      </c>
      <c r="L57" s="24">
        <f t="shared" si="26"/>
        <v>20.285714285714285</v>
      </c>
      <c r="M57" s="42">
        <f>SUM(M52:M56)</f>
        <v>71</v>
      </c>
      <c r="N57" s="19">
        <v>0</v>
      </c>
      <c r="O57" s="42">
        <f>SUM(O52:O56)</f>
        <v>11</v>
      </c>
      <c r="P57" s="42">
        <f>SUM(P52:P56)</f>
        <v>52</v>
      </c>
      <c r="Q57" s="42">
        <f>SUM(Q52:Q56)</f>
        <v>14</v>
      </c>
      <c r="R57" s="6"/>
      <c r="S57" s="6"/>
      <c r="T57" s="6"/>
      <c r="U57" s="6"/>
      <c r="V57" s="42">
        <f t="shared" ref="V57:X57" si="28">SUM(V52:V56)</f>
        <v>12</v>
      </c>
      <c r="W57" s="42">
        <f t="shared" si="28"/>
        <v>46</v>
      </c>
      <c r="X57" s="42">
        <f t="shared" si="28"/>
        <v>13</v>
      </c>
    </row>
    <row r="58" spans="1:24" s="23" customFormat="1" ht="15.75" customHeight="1" x14ac:dyDescent="0.25">
      <c r="A58" s="57" t="s">
        <v>55</v>
      </c>
      <c r="B58" s="58"/>
      <c r="C58" s="58"/>
      <c r="D58" s="58"/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8"/>
      <c r="P58" s="58"/>
      <c r="Q58" s="58"/>
      <c r="R58" s="58"/>
      <c r="S58" s="58"/>
      <c r="T58" s="58"/>
      <c r="U58" s="58"/>
      <c r="V58" s="58"/>
      <c r="W58" s="58"/>
      <c r="X58" s="59"/>
    </row>
    <row r="59" spans="1:24" ht="32.25" customHeight="1" x14ac:dyDescent="0.25">
      <c r="A59" s="37" t="s">
        <v>0</v>
      </c>
      <c r="B59" s="4" t="s">
        <v>10</v>
      </c>
      <c r="C59" s="37">
        <v>50.4</v>
      </c>
      <c r="D59" s="37">
        <v>50.4</v>
      </c>
      <c r="E59" s="37">
        <v>50.4</v>
      </c>
      <c r="F59" s="37">
        <v>74</v>
      </c>
      <c r="G59" s="37">
        <v>61</v>
      </c>
      <c r="H59" s="37">
        <v>8</v>
      </c>
      <c r="I59" s="38">
        <f t="shared" ref="I59:I64" si="29">F59/C59</f>
        <v>1.4682539682539684</v>
      </c>
      <c r="J59" s="38">
        <f t="shared" ref="J59:J64" si="30">G59/D59</f>
        <v>1.2103174603174605</v>
      </c>
      <c r="K59" s="38">
        <f t="shared" ref="K59:K64" si="31">H59/E59</f>
        <v>0.15873015873015872</v>
      </c>
      <c r="L59" s="36">
        <f t="shared" ref="L59:L64" si="32">M59*100/H59</f>
        <v>25</v>
      </c>
      <c r="M59" s="37">
        <v>2</v>
      </c>
      <c r="N59" s="7"/>
      <c r="O59" s="39">
        <v>0</v>
      </c>
      <c r="P59" s="39">
        <v>3</v>
      </c>
      <c r="Q59" s="39">
        <v>0</v>
      </c>
      <c r="R59" s="29">
        <v>1</v>
      </c>
      <c r="S59" s="6">
        <v>0</v>
      </c>
      <c r="T59" s="6">
        <v>4</v>
      </c>
      <c r="U59" s="6">
        <v>1</v>
      </c>
      <c r="V59" s="37">
        <v>0</v>
      </c>
      <c r="W59" s="37">
        <v>2</v>
      </c>
      <c r="X59" s="37">
        <v>0</v>
      </c>
    </row>
    <row r="60" spans="1:24" ht="25.5" customHeight="1" x14ac:dyDescent="0.25">
      <c r="A60" s="37" t="s">
        <v>1</v>
      </c>
      <c r="B60" s="4" t="s">
        <v>71</v>
      </c>
      <c r="C60" s="37">
        <v>129.9</v>
      </c>
      <c r="D60" s="37">
        <v>129.9</v>
      </c>
      <c r="E60" s="37">
        <v>129.9</v>
      </c>
      <c r="F60" s="37">
        <v>191</v>
      </c>
      <c r="G60" s="37">
        <v>158</v>
      </c>
      <c r="H60" s="37">
        <v>21</v>
      </c>
      <c r="I60" s="38">
        <f t="shared" si="29"/>
        <v>1.47036181678214</v>
      </c>
      <c r="J60" s="38">
        <f t="shared" si="30"/>
        <v>1.2163202463433409</v>
      </c>
      <c r="K60" s="38">
        <f t="shared" si="31"/>
        <v>0.16166281755196305</v>
      </c>
      <c r="L60" s="36">
        <f t="shared" si="32"/>
        <v>33.333333333333336</v>
      </c>
      <c r="M60" s="37">
        <v>7</v>
      </c>
      <c r="N60" s="7"/>
      <c r="O60" s="39">
        <v>1</v>
      </c>
      <c r="P60" s="39">
        <v>5</v>
      </c>
      <c r="Q60" s="39">
        <v>1</v>
      </c>
      <c r="R60" s="29">
        <v>5</v>
      </c>
      <c r="S60" s="6">
        <v>1</v>
      </c>
      <c r="T60" s="6">
        <v>7</v>
      </c>
      <c r="U60" s="6">
        <v>1</v>
      </c>
      <c r="V60" s="37">
        <v>1</v>
      </c>
      <c r="W60" s="37">
        <v>5</v>
      </c>
      <c r="X60" s="37">
        <v>1</v>
      </c>
    </row>
    <row r="61" spans="1:24" ht="29.25" customHeight="1" x14ac:dyDescent="0.25">
      <c r="A61" s="37" t="s">
        <v>2</v>
      </c>
      <c r="B61" s="4" t="s">
        <v>72</v>
      </c>
      <c r="C61" s="37">
        <v>178.2</v>
      </c>
      <c r="D61" s="5">
        <v>178.2</v>
      </c>
      <c r="E61" s="5">
        <v>178.2</v>
      </c>
      <c r="F61" s="37">
        <v>261</v>
      </c>
      <c r="G61" s="37">
        <v>217</v>
      </c>
      <c r="H61" s="37">
        <v>29</v>
      </c>
      <c r="I61" s="38">
        <f t="shared" si="29"/>
        <v>1.4646464646464648</v>
      </c>
      <c r="J61" s="38">
        <f t="shared" si="30"/>
        <v>1.2177328843995512</v>
      </c>
      <c r="K61" s="38">
        <f t="shared" si="31"/>
        <v>0.16273849607182941</v>
      </c>
      <c r="L61" s="36">
        <f t="shared" si="32"/>
        <v>31.03448275862069</v>
      </c>
      <c r="M61" s="37">
        <v>9</v>
      </c>
      <c r="N61" s="7"/>
      <c r="O61" s="39">
        <v>1</v>
      </c>
      <c r="P61" s="39">
        <v>7</v>
      </c>
      <c r="Q61" s="39">
        <v>1</v>
      </c>
      <c r="R61" s="29">
        <v>4</v>
      </c>
      <c r="S61" s="6">
        <v>1</v>
      </c>
      <c r="T61" s="6">
        <v>7</v>
      </c>
      <c r="U61" s="6">
        <v>1</v>
      </c>
      <c r="V61" s="37">
        <v>1</v>
      </c>
      <c r="W61" s="37">
        <v>6</v>
      </c>
      <c r="X61" s="37">
        <v>2</v>
      </c>
    </row>
    <row r="62" spans="1:24" ht="29.25" customHeight="1" x14ac:dyDescent="0.25">
      <c r="A62" s="37" t="s">
        <v>3</v>
      </c>
      <c r="B62" s="4" t="s">
        <v>23</v>
      </c>
      <c r="C62" s="37">
        <v>107.1</v>
      </c>
      <c r="D62" s="37">
        <v>107.1</v>
      </c>
      <c r="E62" s="37">
        <v>107.1</v>
      </c>
      <c r="F62" s="37">
        <v>157</v>
      </c>
      <c r="G62" s="37">
        <v>130</v>
      </c>
      <c r="H62" s="37">
        <v>17</v>
      </c>
      <c r="I62" s="38">
        <f t="shared" si="29"/>
        <v>1.465919701213819</v>
      </c>
      <c r="J62" s="38">
        <f t="shared" si="30"/>
        <v>1.2138188608776845</v>
      </c>
      <c r="K62" s="38">
        <f t="shared" si="31"/>
        <v>0.15873015873015875</v>
      </c>
      <c r="L62" s="36">
        <f t="shared" si="32"/>
        <v>35.294117647058826</v>
      </c>
      <c r="M62" s="37">
        <v>6</v>
      </c>
      <c r="N62" s="7"/>
      <c r="O62" s="39">
        <v>1</v>
      </c>
      <c r="P62" s="39">
        <v>4</v>
      </c>
      <c r="Q62" s="39">
        <v>1</v>
      </c>
      <c r="R62" s="29">
        <v>3</v>
      </c>
      <c r="S62" s="6">
        <v>1</v>
      </c>
      <c r="T62" s="6">
        <v>4</v>
      </c>
      <c r="U62" s="6">
        <v>1</v>
      </c>
      <c r="V62" s="37">
        <v>1</v>
      </c>
      <c r="W62" s="37">
        <v>4</v>
      </c>
      <c r="X62" s="37">
        <v>1</v>
      </c>
    </row>
    <row r="63" spans="1:24" ht="16.5" customHeight="1" x14ac:dyDescent="0.25">
      <c r="A63" s="37" t="s">
        <v>4</v>
      </c>
      <c r="B63" s="4" t="s">
        <v>11</v>
      </c>
      <c r="C63" s="37">
        <v>1138.7</v>
      </c>
      <c r="D63" s="37">
        <v>1138.7</v>
      </c>
      <c r="E63" s="5" t="e">
        <f>E64-#REF!-E59-E60-E61-E62</f>
        <v>#REF!</v>
      </c>
      <c r="F63" s="37">
        <v>1670</v>
      </c>
      <c r="G63" s="37">
        <f>G64-G59-G60-G61-G62</f>
        <v>1388</v>
      </c>
      <c r="H63" s="37">
        <f>H64-H59-H60-H61-H62</f>
        <v>185</v>
      </c>
      <c r="I63" s="38">
        <f t="shared" si="29"/>
        <v>1.4665847018529903</v>
      </c>
      <c r="J63" s="38">
        <f t="shared" si="30"/>
        <v>1.2189338719592517</v>
      </c>
      <c r="K63" s="38" t="e">
        <f t="shared" si="31"/>
        <v>#REF!</v>
      </c>
      <c r="L63" s="36">
        <f t="shared" si="32"/>
        <v>35.135135135135137</v>
      </c>
      <c r="M63" s="37">
        <v>65</v>
      </c>
      <c r="N63" s="7"/>
      <c r="O63" s="39">
        <v>6</v>
      </c>
      <c r="P63" s="39">
        <v>50</v>
      </c>
      <c r="Q63" s="39">
        <v>13</v>
      </c>
      <c r="R63" s="6"/>
      <c r="S63" s="6"/>
      <c r="T63" s="6"/>
      <c r="U63" s="6"/>
      <c r="V63" s="37">
        <v>10</v>
      </c>
      <c r="W63" s="37">
        <v>42</v>
      </c>
      <c r="X63" s="37">
        <v>13</v>
      </c>
    </row>
    <row r="64" spans="1:24" s="23" customFormat="1" x14ac:dyDescent="0.25">
      <c r="A64" s="52" t="s">
        <v>73</v>
      </c>
      <c r="B64" s="52"/>
      <c r="C64" s="42">
        <f>SUM(C59:C63)</f>
        <v>1604.3000000000002</v>
      </c>
      <c r="D64" s="42">
        <f>SUM(D59:D63)</f>
        <v>1604.3000000000002</v>
      </c>
      <c r="E64" s="42">
        <v>1604.3</v>
      </c>
      <c r="F64" s="42">
        <f>SUM(F59:F63)</f>
        <v>2353</v>
      </c>
      <c r="G64" s="42">
        <v>1954</v>
      </c>
      <c r="H64" s="42">
        <v>260</v>
      </c>
      <c r="I64" s="18">
        <f t="shared" si="29"/>
        <v>1.4666832886617214</v>
      </c>
      <c r="J64" s="18">
        <f t="shared" si="30"/>
        <v>1.2179766876519353</v>
      </c>
      <c r="K64" s="18">
        <f t="shared" si="31"/>
        <v>0.1620644517858256</v>
      </c>
      <c r="L64" s="24">
        <f t="shared" si="32"/>
        <v>34.230769230769234</v>
      </c>
      <c r="M64" s="42">
        <f>SUM(M59:M63)</f>
        <v>89</v>
      </c>
      <c r="N64" s="19">
        <v>0</v>
      </c>
      <c r="O64" s="42">
        <f>SUM(O59:O63)</f>
        <v>9</v>
      </c>
      <c r="P64" s="42">
        <f>SUM(P59:P63)</f>
        <v>69</v>
      </c>
      <c r="Q64" s="42">
        <f>SUM(Q59:Q63)</f>
        <v>16</v>
      </c>
      <c r="R64" s="6"/>
      <c r="S64" s="6"/>
      <c r="T64" s="6"/>
      <c r="U64" s="6"/>
      <c r="V64" s="42">
        <f t="shared" ref="V64:X64" si="33">SUM(V59:V63)</f>
        <v>13</v>
      </c>
      <c r="W64" s="42">
        <f t="shared" si="33"/>
        <v>59</v>
      </c>
      <c r="X64" s="42">
        <f t="shared" si="33"/>
        <v>17</v>
      </c>
    </row>
    <row r="65" spans="1:24" s="23" customFormat="1" ht="15.75" customHeight="1" x14ac:dyDescent="0.25">
      <c r="A65" s="57" t="s">
        <v>58</v>
      </c>
      <c r="B65" s="58"/>
      <c r="C65" s="58"/>
      <c r="D65" s="58"/>
      <c r="E65" s="58"/>
      <c r="F65" s="58"/>
      <c r="G65" s="58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9"/>
    </row>
    <row r="66" spans="1:24" ht="30.75" customHeight="1" x14ac:dyDescent="0.25">
      <c r="A66" s="37" t="s">
        <v>0</v>
      </c>
      <c r="B66" s="4" t="s">
        <v>24</v>
      </c>
      <c r="C66" s="37">
        <v>170</v>
      </c>
      <c r="D66" s="5">
        <v>170</v>
      </c>
      <c r="E66" s="38">
        <v>168.64</v>
      </c>
      <c r="F66" s="37">
        <v>384</v>
      </c>
      <c r="G66" s="37">
        <v>428</v>
      </c>
      <c r="H66" s="37">
        <v>106</v>
      </c>
      <c r="I66" s="38">
        <f>F66/C66</f>
        <v>2.2588235294117647</v>
      </c>
      <c r="J66" s="38">
        <f>G66/D66</f>
        <v>2.5176470588235293</v>
      </c>
      <c r="K66" s="38">
        <f t="shared" ref="K66:K72" si="34">H66/E66</f>
        <v>0.62855787476280844</v>
      </c>
      <c r="L66" s="36">
        <f>M66/H66*100</f>
        <v>28.30188679245283</v>
      </c>
      <c r="M66" s="37">
        <v>30</v>
      </c>
      <c r="N66" s="7"/>
      <c r="O66" s="39">
        <v>4</v>
      </c>
      <c r="P66" s="39">
        <v>20</v>
      </c>
      <c r="Q66" s="39">
        <v>6</v>
      </c>
      <c r="R66" s="32">
        <v>20</v>
      </c>
      <c r="S66" s="39">
        <v>4</v>
      </c>
      <c r="T66" s="39">
        <v>20</v>
      </c>
      <c r="U66" s="39">
        <v>4</v>
      </c>
      <c r="V66" s="37">
        <v>4</v>
      </c>
      <c r="W66" s="37">
        <v>20</v>
      </c>
      <c r="X66" s="37">
        <v>6</v>
      </c>
    </row>
    <row r="67" spans="1:24" ht="39" customHeight="1" x14ac:dyDescent="0.25">
      <c r="A67" s="37" t="s">
        <v>1</v>
      </c>
      <c r="B67" s="4" t="s">
        <v>106</v>
      </c>
      <c r="C67" s="37">
        <v>71.400000000000006</v>
      </c>
      <c r="D67" s="37">
        <v>64.900000000000006</v>
      </c>
      <c r="E67" s="37">
        <v>32.94</v>
      </c>
      <c r="F67" s="37">
        <v>161</v>
      </c>
      <c r="G67" s="37">
        <v>164</v>
      </c>
      <c r="H67" s="37">
        <v>21</v>
      </c>
      <c r="I67" s="38">
        <f t="shared" ref="I67:I72" si="35">F67/C67</f>
        <v>2.2549019607843137</v>
      </c>
      <c r="J67" s="38">
        <f t="shared" ref="J67:J71" si="36">G67/D67</f>
        <v>2.5269645608628659</v>
      </c>
      <c r="K67" s="38">
        <f t="shared" si="34"/>
        <v>0.63752276867030966</v>
      </c>
      <c r="L67" s="36">
        <f>M67*100/H67</f>
        <v>28.571428571428573</v>
      </c>
      <c r="M67" s="37">
        <v>6</v>
      </c>
      <c r="N67" s="7"/>
      <c r="O67" s="39">
        <v>1</v>
      </c>
      <c r="P67" s="39">
        <v>8</v>
      </c>
      <c r="Q67" s="39">
        <v>2</v>
      </c>
      <c r="R67" s="60">
        <v>6</v>
      </c>
      <c r="S67" s="6">
        <v>1</v>
      </c>
      <c r="T67" s="6">
        <v>8</v>
      </c>
      <c r="U67" s="6">
        <v>2</v>
      </c>
      <c r="V67" s="37">
        <v>0</v>
      </c>
      <c r="W67" s="37">
        <v>5</v>
      </c>
      <c r="X67" s="37">
        <v>1</v>
      </c>
    </row>
    <row r="68" spans="1:24" ht="39.75" customHeight="1" x14ac:dyDescent="0.25">
      <c r="A68" s="37" t="s">
        <v>68</v>
      </c>
      <c r="B68" s="4" t="s">
        <v>107</v>
      </c>
      <c r="C68" s="37"/>
      <c r="D68" s="37"/>
      <c r="E68" s="37">
        <v>36.270000000000003</v>
      </c>
      <c r="F68" s="37"/>
      <c r="G68" s="37"/>
      <c r="H68" s="37">
        <v>23</v>
      </c>
      <c r="I68" s="38"/>
      <c r="J68" s="38"/>
      <c r="K68" s="38">
        <f t="shared" si="34"/>
        <v>0.63413289219740832</v>
      </c>
      <c r="L68" s="36">
        <f>M68/H68*100</f>
        <v>26.086956521739129</v>
      </c>
      <c r="M68" s="37">
        <v>6</v>
      </c>
      <c r="N68" s="7"/>
      <c r="O68" s="39"/>
      <c r="P68" s="39"/>
      <c r="Q68" s="39"/>
      <c r="R68" s="60"/>
      <c r="S68" s="6"/>
      <c r="T68" s="6"/>
      <c r="U68" s="6"/>
      <c r="V68" s="37">
        <v>1</v>
      </c>
      <c r="W68" s="37">
        <v>4</v>
      </c>
      <c r="X68" s="37">
        <v>1</v>
      </c>
    </row>
    <row r="69" spans="1:24" ht="44.25" customHeight="1" x14ac:dyDescent="0.25">
      <c r="A69" s="37" t="s">
        <v>67</v>
      </c>
      <c r="B69" s="4" t="s">
        <v>22</v>
      </c>
      <c r="C69" s="37">
        <v>18.399999999999999</v>
      </c>
      <c r="D69" s="37">
        <v>18.399999999999999</v>
      </c>
      <c r="E69" s="37">
        <v>18.399999999999999</v>
      </c>
      <c r="F69" s="37">
        <v>42</v>
      </c>
      <c r="G69" s="37">
        <v>46</v>
      </c>
      <c r="H69" s="37">
        <v>12</v>
      </c>
      <c r="I69" s="38">
        <f t="shared" si="35"/>
        <v>2.2826086956521743</v>
      </c>
      <c r="J69" s="38">
        <f t="shared" si="36"/>
        <v>2.5</v>
      </c>
      <c r="K69" s="38">
        <f t="shared" si="34"/>
        <v>0.65217391304347827</v>
      </c>
      <c r="L69" s="36">
        <f>M69/H69*100</f>
        <v>25</v>
      </c>
      <c r="M69" s="37">
        <v>3</v>
      </c>
      <c r="N69" s="7"/>
      <c r="O69" s="39">
        <v>0</v>
      </c>
      <c r="P69" s="39">
        <v>3</v>
      </c>
      <c r="Q69" s="39">
        <v>0</v>
      </c>
      <c r="R69" s="29">
        <v>2</v>
      </c>
      <c r="S69" s="6">
        <v>0</v>
      </c>
      <c r="T69" s="6">
        <v>3</v>
      </c>
      <c r="U69" s="6">
        <v>0</v>
      </c>
      <c r="V69" s="37">
        <v>0</v>
      </c>
      <c r="W69" s="37">
        <v>3</v>
      </c>
      <c r="X69" s="37">
        <v>0</v>
      </c>
    </row>
    <row r="70" spans="1:24" ht="27" customHeight="1" x14ac:dyDescent="0.25">
      <c r="A70" s="37" t="s">
        <v>70</v>
      </c>
      <c r="B70" s="4" t="s">
        <v>25</v>
      </c>
      <c r="C70" s="37">
        <v>21.1</v>
      </c>
      <c r="D70" s="37">
        <v>19.899999999999999</v>
      </c>
      <c r="E70" s="37">
        <v>19.899999999999999</v>
      </c>
      <c r="F70" s="37">
        <v>48</v>
      </c>
      <c r="G70" s="37">
        <v>50</v>
      </c>
      <c r="H70" s="37">
        <v>13</v>
      </c>
      <c r="I70" s="38">
        <f t="shared" si="35"/>
        <v>2.2748815165876777</v>
      </c>
      <c r="J70" s="38">
        <f t="shared" si="36"/>
        <v>2.512562814070352</v>
      </c>
      <c r="K70" s="38">
        <f t="shared" si="34"/>
        <v>0.65326633165829151</v>
      </c>
      <c r="L70" s="36">
        <f>M70/H70*100</f>
        <v>23.076923076923077</v>
      </c>
      <c r="M70" s="37">
        <v>3</v>
      </c>
      <c r="N70" s="7"/>
      <c r="O70" s="39">
        <v>0</v>
      </c>
      <c r="P70" s="39">
        <v>3</v>
      </c>
      <c r="Q70" s="39">
        <v>0</v>
      </c>
      <c r="R70" s="29">
        <v>3</v>
      </c>
      <c r="S70" s="6">
        <v>0</v>
      </c>
      <c r="T70" s="6">
        <v>3</v>
      </c>
      <c r="U70" s="6">
        <v>0</v>
      </c>
      <c r="V70" s="37">
        <v>0</v>
      </c>
      <c r="W70" s="37">
        <v>3</v>
      </c>
      <c r="X70" s="37">
        <v>0</v>
      </c>
    </row>
    <row r="71" spans="1:24" ht="14.25" customHeight="1" x14ac:dyDescent="0.25">
      <c r="A71" s="37" t="s">
        <v>89</v>
      </c>
      <c r="B71" s="4" t="s">
        <v>14</v>
      </c>
      <c r="C71" s="37">
        <v>79.900000000000006</v>
      </c>
      <c r="D71" s="37">
        <v>76.8</v>
      </c>
      <c r="E71" s="38" t="e">
        <f>E72-#REF!-E66-E67-E68-E69-E70</f>
        <v>#REF!</v>
      </c>
      <c r="F71" s="37">
        <f>F72-F66-F67-F69-F70</f>
        <v>181</v>
      </c>
      <c r="G71" s="37">
        <f>G72-G66-G67-G69-G70</f>
        <v>194</v>
      </c>
      <c r="H71" s="37">
        <v>38</v>
      </c>
      <c r="I71" s="38">
        <f t="shared" si="35"/>
        <v>2.2653316645807258</v>
      </c>
      <c r="J71" s="38">
        <f t="shared" si="36"/>
        <v>2.526041666666667</v>
      </c>
      <c r="K71" s="38" t="e">
        <f t="shared" si="34"/>
        <v>#REF!</v>
      </c>
      <c r="L71" s="36">
        <f>M71/H71*100</f>
        <v>28.947368421052634</v>
      </c>
      <c r="M71" s="37">
        <v>11</v>
      </c>
      <c r="N71" s="7"/>
      <c r="O71" s="39">
        <v>1</v>
      </c>
      <c r="P71" s="39">
        <v>10</v>
      </c>
      <c r="Q71" s="39">
        <v>2</v>
      </c>
      <c r="R71" s="6"/>
      <c r="S71" s="6"/>
      <c r="T71" s="6"/>
      <c r="U71" s="6"/>
      <c r="V71" s="37">
        <v>2</v>
      </c>
      <c r="W71" s="37">
        <v>7</v>
      </c>
      <c r="X71" s="37">
        <v>2</v>
      </c>
    </row>
    <row r="72" spans="1:24" s="23" customFormat="1" x14ac:dyDescent="0.25">
      <c r="A72" s="52" t="s">
        <v>73</v>
      </c>
      <c r="B72" s="52"/>
      <c r="C72" s="42">
        <f>SUM(C66:C71)</f>
        <v>360.80000000000007</v>
      </c>
      <c r="D72" s="17">
        <f>SUM(D66:D71)</f>
        <v>350</v>
      </c>
      <c r="E72" s="17">
        <v>350</v>
      </c>
      <c r="F72" s="42">
        <v>816</v>
      </c>
      <c r="G72" s="42">
        <v>882</v>
      </c>
      <c r="H72" s="42">
        <v>220</v>
      </c>
      <c r="I72" s="18">
        <f t="shared" si="35"/>
        <v>2.2616407982261637</v>
      </c>
      <c r="J72" s="18">
        <f>G72/D72</f>
        <v>2.52</v>
      </c>
      <c r="K72" s="18">
        <f t="shared" si="34"/>
        <v>0.62857142857142856</v>
      </c>
      <c r="L72" s="24">
        <f>M72*100/H72</f>
        <v>26.818181818181817</v>
      </c>
      <c r="M72" s="42">
        <f>SUM(M66:M71)</f>
        <v>59</v>
      </c>
      <c r="N72" s="19">
        <v>0</v>
      </c>
      <c r="O72" s="42">
        <f>SUM(O66:O71)</f>
        <v>6</v>
      </c>
      <c r="P72" s="42">
        <f>SUM(P66:P71)</f>
        <v>44</v>
      </c>
      <c r="Q72" s="42">
        <f>SUM(Q66:Q71)</f>
        <v>10</v>
      </c>
      <c r="R72" s="6"/>
      <c r="S72" s="6"/>
      <c r="T72" s="6"/>
      <c r="U72" s="6"/>
      <c r="V72" s="42">
        <f>SUM(V66:V71)</f>
        <v>7</v>
      </c>
      <c r="W72" s="42">
        <f>SUM(W66:W71)</f>
        <v>42</v>
      </c>
      <c r="X72" s="42">
        <f>SUM(X66:X71)</f>
        <v>10</v>
      </c>
    </row>
    <row r="73" spans="1:24" s="23" customFormat="1" ht="15.75" customHeight="1" x14ac:dyDescent="0.25">
      <c r="A73" s="57" t="s">
        <v>51</v>
      </c>
      <c r="B73" s="58"/>
      <c r="C73" s="58"/>
      <c r="D73" s="58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  <c r="Q73" s="58"/>
      <c r="R73" s="58"/>
      <c r="S73" s="58"/>
      <c r="T73" s="58"/>
      <c r="U73" s="58"/>
      <c r="V73" s="58"/>
      <c r="W73" s="58"/>
      <c r="X73" s="59"/>
    </row>
    <row r="74" spans="1:24" ht="30" customHeight="1" x14ac:dyDescent="0.25">
      <c r="A74" s="37" t="s">
        <v>0</v>
      </c>
      <c r="B74" s="4" t="s">
        <v>26</v>
      </c>
      <c r="C74" s="37">
        <v>26.2</v>
      </c>
      <c r="D74" s="37">
        <v>26.2</v>
      </c>
      <c r="E74" s="37">
        <v>26.2</v>
      </c>
      <c r="F74" s="37">
        <v>64</v>
      </c>
      <c r="G74" s="37">
        <v>74</v>
      </c>
      <c r="H74" s="37">
        <v>15</v>
      </c>
      <c r="I74" s="38">
        <f t="shared" ref="I74:I82" si="37">F74/C74</f>
        <v>2.4427480916030535</v>
      </c>
      <c r="J74" s="38">
        <f t="shared" ref="J74:J82" si="38">G74/D74</f>
        <v>2.8244274809160306</v>
      </c>
      <c r="K74" s="38">
        <f t="shared" ref="K74:K82" si="39">H74/E74</f>
        <v>0.57251908396946571</v>
      </c>
      <c r="L74" s="36">
        <f t="shared" ref="L74:L82" si="40">M74*100/H74</f>
        <v>26.666666666666668</v>
      </c>
      <c r="M74" s="37">
        <v>4</v>
      </c>
      <c r="N74" s="7"/>
      <c r="O74" s="39">
        <v>1</v>
      </c>
      <c r="P74" s="39">
        <v>4</v>
      </c>
      <c r="Q74" s="39">
        <v>0</v>
      </c>
      <c r="R74" s="29">
        <v>6</v>
      </c>
      <c r="S74" s="6">
        <v>1</v>
      </c>
      <c r="T74" s="6">
        <v>7</v>
      </c>
      <c r="U74" s="6">
        <v>0</v>
      </c>
      <c r="V74" s="37">
        <v>1</v>
      </c>
      <c r="W74" s="37">
        <v>3</v>
      </c>
      <c r="X74" s="37">
        <v>0</v>
      </c>
    </row>
    <row r="75" spans="1:24" ht="28.5" customHeight="1" x14ac:dyDescent="0.25">
      <c r="A75" s="37" t="s">
        <v>1</v>
      </c>
      <c r="B75" s="4" t="s">
        <v>10</v>
      </c>
      <c r="C75" s="37">
        <v>15</v>
      </c>
      <c r="D75" s="5">
        <v>15</v>
      </c>
      <c r="E75" s="5">
        <v>15</v>
      </c>
      <c r="F75" s="37">
        <v>36</v>
      </c>
      <c r="G75" s="37">
        <v>42</v>
      </c>
      <c r="H75" s="37">
        <v>9</v>
      </c>
      <c r="I75" s="38">
        <f t="shared" si="37"/>
        <v>2.4</v>
      </c>
      <c r="J75" s="38">
        <f t="shared" si="38"/>
        <v>2.8</v>
      </c>
      <c r="K75" s="38">
        <f t="shared" si="39"/>
        <v>0.6</v>
      </c>
      <c r="L75" s="36">
        <f t="shared" si="40"/>
        <v>22.222222222222221</v>
      </c>
      <c r="M75" s="37">
        <v>2</v>
      </c>
      <c r="N75" s="7"/>
      <c r="O75" s="39">
        <v>0</v>
      </c>
      <c r="P75" s="39">
        <v>2</v>
      </c>
      <c r="Q75" s="39">
        <v>0</v>
      </c>
      <c r="R75" s="29">
        <v>1</v>
      </c>
      <c r="S75" s="6">
        <v>0</v>
      </c>
      <c r="T75" s="6">
        <v>3</v>
      </c>
      <c r="U75" s="6">
        <v>0</v>
      </c>
      <c r="V75" s="37">
        <v>0</v>
      </c>
      <c r="W75" s="37">
        <v>2</v>
      </c>
      <c r="X75" s="37">
        <v>0</v>
      </c>
    </row>
    <row r="76" spans="1:24" ht="33" customHeight="1" x14ac:dyDescent="0.25">
      <c r="A76" s="37" t="s">
        <v>2</v>
      </c>
      <c r="B76" s="4" t="s">
        <v>27</v>
      </c>
      <c r="C76" s="37">
        <v>35.5</v>
      </c>
      <c r="D76" s="5">
        <v>35.5</v>
      </c>
      <c r="E76" s="5">
        <v>35.5</v>
      </c>
      <c r="F76" s="37">
        <v>86</v>
      </c>
      <c r="G76" s="37">
        <v>100</v>
      </c>
      <c r="H76" s="37">
        <v>21</v>
      </c>
      <c r="I76" s="38">
        <f t="shared" si="37"/>
        <v>2.4225352112676055</v>
      </c>
      <c r="J76" s="38">
        <f t="shared" si="38"/>
        <v>2.816901408450704</v>
      </c>
      <c r="K76" s="38">
        <f t="shared" si="39"/>
        <v>0.59154929577464788</v>
      </c>
      <c r="L76" s="36">
        <f t="shared" si="40"/>
        <v>23.80952380952381</v>
      </c>
      <c r="M76" s="37">
        <v>5</v>
      </c>
      <c r="N76" s="7"/>
      <c r="O76" s="39">
        <v>1</v>
      </c>
      <c r="P76" s="39">
        <v>4</v>
      </c>
      <c r="Q76" s="39">
        <v>0</v>
      </c>
      <c r="R76" s="29">
        <v>3</v>
      </c>
      <c r="S76" s="6">
        <v>1</v>
      </c>
      <c r="T76" s="6">
        <v>3</v>
      </c>
      <c r="U76" s="6">
        <v>0</v>
      </c>
      <c r="V76" s="37">
        <v>0</v>
      </c>
      <c r="W76" s="37">
        <v>4</v>
      </c>
      <c r="X76" s="37">
        <v>1</v>
      </c>
    </row>
    <row r="77" spans="1:24" ht="32.25" customHeight="1" x14ac:dyDescent="0.25">
      <c r="A77" s="37" t="s">
        <v>3</v>
      </c>
      <c r="B77" s="4" t="s">
        <v>28</v>
      </c>
      <c r="C77" s="37">
        <v>11.8</v>
      </c>
      <c r="D77" s="37">
        <v>11.8</v>
      </c>
      <c r="E77" s="37">
        <v>11.8</v>
      </c>
      <c r="F77" s="37">
        <v>29</v>
      </c>
      <c r="G77" s="37">
        <v>33</v>
      </c>
      <c r="H77" s="37">
        <v>7</v>
      </c>
      <c r="I77" s="38">
        <f t="shared" si="37"/>
        <v>2.4576271186440675</v>
      </c>
      <c r="J77" s="38">
        <f t="shared" si="38"/>
        <v>2.7966101694915251</v>
      </c>
      <c r="K77" s="38">
        <f t="shared" si="39"/>
        <v>0.59322033898305082</v>
      </c>
      <c r="L77" s="36">
        <f t="shared" si="40"/>
        <v>28.571428571428573</v>
      </c>
      <c r="M77" s="37">
        <v>2</v>
      </c>
      <c r="N77" s="7"/>
      <c r="O77" s="39">
        <v>0</v>
      </c>
      <c r="P77" s="39">
        <v>1</v>
      </c>
      <c r="Q77" s="39">
        <v>0</v>
      </c>
      <c r="R77" s="29">
        <v>1</v>
      </c>
      <c r="S77" s="6">
        <v>0</v>
      </c>
      <c r="T77" s="6">
        <v>2</v>
      </c>
      <c r="U77" s="6">
        <v>0</v>
      </c>
      <c r="V77" s="37">
        <v>0</v>
      </c>
      <c r="W77" s="37">
        <v>2</v>
      </c>
      <c r="X77" s="37">
        <v>0</v>
      </c>
    </row>
    <row r="78" spans="1:24" ht="30" customHeight="1" x14ac:dyDescent="0.25">
      <c r="A78" s="37" t="s">
        <v>4</v>
      </c>
      <c r="B78" s="4" t="s">
        <v>108</v>
      </c>
      <c r="C78" s="37">
        <v>23.8</v>
      </c>
      <c r="D78" s="37">
        <v>23.8</v>
      </c>
      <c r="E78" s="37">
        <v>23.8</v>
      </c>
      <c r="F78" s="37">
        <v>58</v>
      </c>
      <c r="G78" s="37">
        <v>67</v>
      </c>
      <c r="H78" s="37">
        <v>14</v>
      </c>
      <c r="I78" s="38">
        <f t="shared" si="37"/>
        <v>2.4369747899159662</v>
      </c>
      <c r="J78" s="38">
        <f t="shared" si="38"/>
        <v>2.8151260504201678</v>
      </c>
      <c r="K78" s="38">
        <f t="shared" si="39"/>
        <v>0.58823529411764708</v>
      </c>
      <c r="L78" s="36">
        <f t="shared" si="40"/>
        <v>28.571428571428573</v>
      </c>
      <c r="M78" s="37">
        <v>4</v>
      </c>
      <c r="N78" s="7"/>
      <c r="O78" s="39">
        <v>1</v>
      </c>
      <c r="P78" s="39">
        <v>3</v>
      </c>
      <c r="Q78" s="39">
        <v>0</v>
      </c>
      <c r="R78" s="29">
        <v>2</v>
      </c>
      <c r="S78" s="6">
        <v>0</v>
      </c>
      <c r="T78" s="6">
        <v>4</v>
      </c>
      <c r="U78" s="6">
        <v>2</v>
      </c>
      <c r="V78" s="37">
        <v>1</v>
      </c>
      <c r="W78" s="37">
        <v>3</v>
      </c>
      <c r="X78" s="37">
        <v>0</v>
      </c>
    </row>
    <row r="79" spans="1:24" ht="30" customHeight="1" x14ac:dyDescent="0.25">
      <c r="A79" s="37" t="s">
        <v>5</v>
      </c>
      <c r="B79" s="4" t="s">
        <v>29</v>
      </c>
      <c r="C79" s="37">
        <v>21.1</v>
      </c>
      <c r="D79" s="37">
        <v>21.1</v>
      </c>
      <c r="E79" s="37">
        <v>21.1</v>
      </c>
      <c r="F79" s="37">
        <v>51</v>
      </c>
      <c r="G79" s="37">
        <v>59</v>
      </c>
      <c r="H79" s="37">
        <v>12</v>
      </c>
      <c r="I79" s="38">
        <f t="shared" si="37"/>
        <v>2.4170616113744074</v>
      </c>
      <c r="J79" s="38">
        <f t="shared" si="38"/>
        <v>2.796208530805687</v>
      </c>
      <c r="K79" s="38">
        <f t="shared" si="39"/>
        <v>0.56872037914691942</v>
      </c>
      <c r="L79" s="36">
        <f t="shared" si="40"/>
        <v>25</v>
      </c>
      <c r="M79" s="37">
        <v>3</v>
      </c>
      <c r="N79" s="7"/>
      <c r="O79" s="39">
        <v>1</v>
      </c>
      <c r="P79" s="39">
        <v>3</v>
      </c>
      <c r="Q79" s="39">
        <v>0</v>
      </c>
      <c r="R79" s="29">
        <v>2</v>
      </c>
      <c r="S79" s="6">
        <v>0</v>
      </c>
      <c r="T79" s="6">
        <v>1</v>
      </c>
      <c r="U79" s="6">
        <v>1</v>
      </c>
      <c r="V79" s="37">
        <v>0</v>
      </c>
      <c r="W79" s="37">
        <v>3</v>
      </c>
      <c r="X79" s="37">
        <v>0</v>
      </c>
    </row>
    <row r="80" spans="1:24" ht="28.5" customHeight="1" x14ac:dyDescent="0.25">
      <c r="A80" s="37" t="s">
        <v>6</v>
      </c>
      <c r="B80" s="4" t="s">
        <v>30</v>
      </c>
      <c r="C80" s="37">
        <v>12.4</v>
      </c>
      <c r="D80" s="37">
        <v>12.4</v>
      </c>
      <c r="E80" s="37">
        <v>12.4</v>
      </c>
      <c r="F80" s="37">
        <v>30</v>
      </c>
      <c r="G80" s="37">
        <v>35</v>
      </c>
      <c r="H80" s="37">
        <v>7</v>
      </c>
      <c r="I80" s="38">
        <f t="shared" si="37"/>
        <v>2.4193548387096775</v>
      </c>
      <c r="J80" s="38">
        <f t="shared" si="38"/>
        <v>2.82258064516129</v>
      </c>
      <c r="K80" s="38">
        <f t="shared" si="39"/>
        <v>0.56451612903225801</v>
      </c>
      <c r="L80" s="36">
        <f t="shared" si="40"/>
        <v>28.571428571428573</v>
      </c>
      <c r="M80" s="37">
        <v>2</v>
      </c>
      <c r="N80" s="7"/>
      <c r="O80" s="39">
        <v>0</v>
      </c>
      <c r="P80" s="39">
        <v>2</v>
      </c>
      <c r="Q80" s="39">
        <v>0</v>
      </c>
      <c r="R80" s="29">
        <v>2</v>
      </c>
      <c r="S80" s="6">
        <v>1</v>
      </c>
      <c r="T80" s="6">
        <v>2</v>
      </c>
      <c r="U80" s="6">
        <v>0</v>
      </c>
      <c r="V80" s="37">
        <v>0</v>
      </c>
      <c r="W80" s="37">
        <v>2</v>
      </c>
      <c r="X80" s="37">
        <v>0</v>
      </c>
    </row>
    <row r="81" spans="1:24" ht="18" customHeight="1" x14ac:dyDescent="0.25">
      <c r="A81" s="37" t="s">
        <v>80</v>
      </c>
      <c r="B81" s="4" t="s">
        <v>11</v>
      </c>
      <c r="C81" s="37">
        <f>C82-C74-C75-C76-C77-C78-C79-C80</f>
        <v>59.200000000000024</v>
      </c>
      <c r="D81" s="5">
        <f>D82-D74-D75-D76-D77-D78-D79-D80</f>
        <v>59.200000000000024</v>
      </c>
      <c r="E81" s="5">
        <f>E82-E74-E75-E76-E77-E78-E79-E80</f>
        <v>59.10000000000003</v>
      </c>
      <c r="F81" s="37">
        <f>F82-F74-F75-F76-F77-F78-F79-F80</f>
        <v>144</v>
      </c>
      <c r="G81" s="37">
        <f t="shared" ref="G81" si="41">G82-G74-G75-G76-G77-G78-G79-G80</f>
        <v>167</v>
      </c>
      <c r="H81" s="37">
        <f>H82-H74-H75-H76-H77-H78-H79-H80</f>
        <v>35</v>
      </c>
      <c r="I81" s="38">
        <f t="shared" si="37"/>
        <v>2.4324324324324316</v>
      </c>
      <c r="J81" s="38">
        <f t="shared" si="38"/>
        <v>2.8209459459459447</v>
      </c>
      <c r="K81" s="38">
        <f t="shared" si="39"/>
        <v>0.5922165820642975</v>
      </c>
      <c r="L81" s="36">
        <f t="shared" si="40"/>
        <v>28.571428571428573</v>
      </c>
      <c r="M81" s="37">
        <v>10</v>
      </c>
      <c r="N81" s="7"/>
      <c r="O81" s="39">
        <v>2</v>
      </c>
      <c r="P81" s="39">
        <v>7</v>
      </c>
      <c r="Q81" s="39">
        <v>2</v>
      </c>
      <c r="R81" s="6"/>
      <c r="S81" s="6"/>
      <c r="T81" s="6"/>
      <c r="U81" s="6"/>
      <c r="V81" s="37">
        <v>2</v>
      </c>
      <c r="W81" s="37">
        <v>6</v>
      </c>
      <c r="X81" s="37">
        <v>2</v>
      </c>
    </row>
    <row r="82" spans="1:24" s="23" customFormat="1" x14ac:dyDescent="0.25">
      <c r="A82" s="54" t="s">
        <v>73</v>
      </c>
      <c r="B82" s="55"/>
      <c r="C82" s="42">
        <v>205</v>
      </c>
      <c r="D82" s="42">
        <v>205</v>
      </c>
      <c r="E82" s="17">
        <v>204.9</v>
      </c>
      <c r="F82" s="42">
        <v>498</v>
      </c>
      <c r="G82" s="42">
        <v>577</v>
      </c>
      <c r="H82" s="42">
        <v>120</v>
      </c>
      <c r="I82" s="18">
        <f t="shared" si="37"/>
        <v>2.4292682926829268</v>
      </c>
      <c r="J82" s="18">
        <f t="shared" si="38"/>
        <v>2.8146341463414632</v>
      </c>
      <c r="K82" s="18">
        <f t="shared" si="39"/>
        <v>0.58565153733528552</v>
      </c>
      <c r="L82" s="24">
        <f t="shared" si="40"/>
        <v>26.666666666666668</v>
      </c>
      <c r="M82" s="42">
        <f>SUM(M74:M81)</f>
        <v>32</v>
      </c>
      <c r="N82" s="19">
        <v>0</v>
      </c>
      <c r="O82" s="42">
        <f>SUM(O74:O81)</f>
        <v>6</v>
      </c>
      <c r="P82" s="42">
        <f>SUM(P74:P81)</f>
        <v>26</v>
      </c>
      <c r="Q82" s="42">
        <f>SUM(Q74:Q81)</f>
        <v>2</v>
      </c>
      <c r="R82" s="6"/>
      <c r="S82" s="6"/>
      <c r="T82" s="6"/>
      <c r="U82" s="6"/>
      <c r="V82" s="42">
        <f t="shared" ref="V82:X82" si="42">SUM(V74:V81)</f>
        <v>4</v>
      </c>
      <c r="W82" s="42">
        <f t="shared" si="42"/>
        <v>25</v>
      </c>
      <c r="X82" s="42">
        <f t="shared" si="42"/>
        <v>3</v>
      </c>
    </row>
    <row r="83" spans="1:24" s="23" customFormat="1" ht="15.75" customHeight="1" x14ac:dyDescent="0.25">
      <c r="A83" s="57" t="s">
        <v>56</v>
      </c>
      <c r="B83" s="58"/>
      <c r="C83" s="58"/>
      <c r="D83" s="58"/>
      <c r="E83" s="58"/>
      <c r="F83" s="58"/>
      <c r="G83" s="58"/>
      <c r="H83" s="58"/>
      <c r="I83" s="58"/>
      <c r="J83" s="58"/>
      <c r="K83" s="58"/>
      <c r="L83" s="58"/>
      <c r="M83" s="58"/>
      <c r="N83" s="58"/>
      <c r="O83" s="58"/>
      <c r="P83" s="58"/>
      <c r="Q83" s="58"/>
      <c r="R83" s="58"/>
      <c r="S83" s="58"/>
      <c r="T83" s="58"/>
      <c r="U83" s="58"/>
      <c r="V83" s="58"/>
      <c r="W83" s="58"/>
      <c r="X83" s="59"/>
    </row>
    <row r="84" spans="1:24" ht="32.25" customHeight="1" x14ac:dyDescent="0.25">
      <c r="A84" s="37" t="s">
        <v>0</v>
      </c>
      <c r="B84" s="4" t="s">
        <v>10</v>
      </c>
      <c r="C84" s="37">
        <v>223.8</v>
      </c>
      <c r="D84" s="37">
        <v>203.4</v>
      </c>
      <c r="E84" s="37">
        <v>203.4</v>
      </c>
      <c r="F84" s="37">
        <v>368</v>
      </c>
      <c r="G84" s="37">
        <v>334</v>
      </c>
      <c r="H84" s="37">
        <v>99</v>
      </c>
      <c r="I84" s="38">
        <f t="shared" ref="I84:I89" si="43">F84/C84</f>
        <v>1.6443252904378909</v>
      </c>
      <c r="J84" s="38">
        <f t="shared" ref="J84:J89" si="44">G84/D84</f>
        <v>1.6420845624385447</v>
      </c>
      <c r="K84" s="38">
        <f t="shared" ref="K84:K89" si="45">H84/E84</f>
        <v>0.48672566371681414</v>
      </c>
      <c r="L84" s="36">
        <f t="shared" ref="L84:L89" si="46">M84*100/H84</f>
        <v>13.131313131313131</v>
      </c>
      <c r="M84" s="37">
        <v>13</v>
      </c>
      <c r="N84" s="7"/>
      <c r="O84" s="39">
        <v>1</v>
      </c>
      <c r="P84" s="39">
        <v>12</v>
      </c>
      <c r="Q84" s="39">
        <v>3</v>
      </c>
      <c r="R84" s="29">
        <v>19</v>
      </c>
      <c r="S84" s="6">
        <v>1</v>
      </c>
      <c r="T84" s="6">
        <v>14</v>
      </c>
      <c r="U84" s="6">
        <v>3</v>
      </c>
      <c r="V84" s="37">
        <v>1</v>
      </c>
      <c r="W84" s="37">
        <v>10</v>
      </c>
      <c r="X84" s="37">
        <v>2</v>
      </c>
    </row>
    <row r="85" spans="1:24" ht="40.5" customHeight="1" x14ac:dyDescent="0.25">
      <c r="A85" s="37" t="s">
        <v>1</v>
      </c>
      <c r="B85" s="4" t="s">
        <v>31</v>
      </c>
      <c r="C85" s="37">
        <v>43.5</v>
      </c>
      <c r="D85" s="37">
        <v>38.299999999999997</v>
      </c>
      <c r="E85" s="37">
        <v>43.5</v>
      </c>
      <c r="F85" s="37">
        <v>69</v>
      </c>
      <c r="G85" s="37">
        <v>63</v>
      </c>
      <c r="H85" s="37">
        <v>21</v>
      </c>
      <c r="I85" s="38">
        <f t="shared" si="43"/>
        <v>1.5862068965517242</v>
      </c>
      <c r="J85" s="38">
        <f t="shared" si="44"/>
        <v>1.6449086161879898</v>
      </c>
      <c r="K85" s="38">
        <f t="shared" si="45"/>
        <v>0.48275862068965519</v>
      </c>
      <c r="L85" s="36">
        <f t="shared" si="46"/>
        <v>14.285714285714286</v>
      </c>
      <c r="M85" s="37">
        <v>3</v>
      </c>
      <c r="N85" s="7"/>
      <c r="O85" s="39">
        <v>0</v>
      </c>
      <c r="P85" s="39">
        <v>3</v>
      </c>
      <c r="Q85" s="39">
        <v>0</v>
      </c>
      <c r="R85" s="29">
        <v>4</v>
      </c>
      <c r="S85" s="6">
        <v>1</v>
      </c>
      <c r="T85" s="6">
        <v>3</v>
      </c>
      <c r="U85" s="6">
        <v>0</v>
      </c>
      <c r="V85" s="37">
        <v>0</v>
      </c>
      <c r="W85" s="37">
        <v>3</v>
      </c>
      <c r="X85" s="37">
        <v>0</v>
      </c>
    </row>
    <row r="86" spans="1:24" ht="29.25" customHeight="1" x14ac:dyDescent="0.25">
      <c r="A86" s="37" t="s">
        <v>2</v>
      </c>
      <c r="B86" s="4" t="s">
        <v>32</v>
      </c>
      <c r="C86" s="37">
        <v>24.4</v>
      </c>
      <c r="D86" s="37">
        <v>24.4</v>
      </c>
      <c r="E86" s="37">
        <v>24.4</v>
      </c>
      <c r="F86" s="37">
        <v>44</v>
      </c>
      <c r="G86" s="37">
        <v>40</v>
      </c>
      <c r="H86" s="37">
        <v>12</v>
      </c>
      <c r="I86" s="38">
        <f t="shared" si="43"/>
        <v>1.8032786885245902</v>
      </c>
      <c r="J86" s="38">
        <f t="shared" si="44"/>
        <v>1.639344262295082</v>
      </c>
      <c r="K86" s="38">
        <f t="shared" si="45"/>
        <v>0.49180327868852464</v>
      </c>
      <c r="L86" s="36">
        <f t="shared" si="46"/>
        <v>8.3333333333333339</v>
      </c>
      <c r="M86" s="37">
        <v>1</v>
      </c>
      <c r="N86" s="7"/>
      <c r="O86" s="39">
        <v>0</v>
      </c>
      <c r="P86" s="39">
        <v>2</v>
      </c>
      <c r="Q86" s="39">
        <v>0</v>
      </c>
      <c r="R86" s="29">
        <v>2</v>
      </c>
      <c r="S86" s="6">
        <v>0</v>
      </c>
      <c r="T86" s="6">
        <v>2</v>
      </c>
      <c r="U86" s="6">
        <v>0</v>
      </c>
      <c r="V86" s="37">
        <v>0</v>
      </c>
      <c r="W86" s="37">
        <v>1</v>
      </c>
      <c r="X86" s="37">
        <v>0</v>
      </c>
    </row>
    <row r="87" spans="1:24" ht="26.25" customHeight="1" x14ac:dyDescent="0.25">
      <c r="A87" s="37" t="s">
        <v>3</v>
      </c>
      <c r="B87" s="4" t="s">
        <v>25</v>
      </c>
      <c r="C87" s="37">
        <v>48</v>
      </c>
      <c r="D87" s="5">
        <v>48</v>
      </c>
      <c r="E87" s="5">
        <v>48</v>
      </c>
      <c r="F87" s="37">
        <v>87</v>
      </c>
      <c r="G87" s="37">
        <v>79</v>
      </c>
      <c r="H87" s="37">
        <v>23</v>
      </c>
      <c r="I87" s="38">
        <f t="shared" si="43"/>
        <v>1.8125</v>
      </c>
      <c r="J87" s="38">
        <f t="shared" si="44"/>
        <v>1.6458333333333333</v>
      </c>
      <c r="K87" s="38">
        <f t="shared" si="45"/>
        <v>0.47916666666666669</v>
      </c>
      <c r="L87" s="36">
        <f t="shared" si="46"/>
        <v>13.043478260869565</v>
      </c>
      <c r="M87" s="37">
        <v>3</v>
      </c>
      <c r="N87" s="7"/>
      <c r="O87" s="39">
        <v>0</v>
      </c>
      <c r="P87" s="39">
        <v>3</v>
      </c>
      <c r="Q87" s="39">
        <v>0</v>
      </c>
      <c r="R87" s="29">
        <v>3</v>
      </c>
      <c r="S87" s="6">
        <v>1</v>
      </c>
      <c r="T87" s="6">
        <v>3</v>
      </c>
      <c r="U87" s="6">
        <v>1</v>
      </c>
      <c r="V87" s="37">
        <v>0</v>
      </c>
      <c r="W87" s="37">
        <v>3</v>
      </c>
      <c r="X87" s="37">
        <v>0</v>
      </c>
    </row>
    <row r="88" spans="1:24" ht="18" customHeight="1" x14ac:dyDescent="0.25">
      <c r="A88" s="37" t="s">
        <v>4</v>
      </c>
      <c r="B88" s="4" t="s">
        <v>14</v>
      </c>
      <c r="C88" s="37">
        <v>99.7</v>
      </c>
      <c r="D88" s="5">
        <f>D89-D84-D85-D86-D87</f>
        <v>75.299999999999983</v>
      </c>
      <c r="E88" s="5" t="e">
        <f>E89-#REF!-E84-E85-E86-E87</f>
        <v>#REF!</v>
      </c>
      <c r="F88" s="7" t="e">
        <f>F89-#REF!-F84-F85-F86-F87</f>
        <v>#REF!</v>
      </c>
      <c r="G88" s="7" t="e">
        <f>G89-#REF!-G84-G85-G86-G87</f>
        <v>#REF!</v>
      </c>
      <c r="H88" s="7" t="e">
        <f>H89-#REF!-H84-H85-H86-H87</f>
        <v>#REF!</v>
      </c>
      <c r="I88" s="38" t="e">
        <f t="shared" si="43"/>
        <v>#REF!</v>
      </c>
      <c r="J88" s="38" t="e">
        <f t="shared" si="44"/>
        <v>#REF!</v>
      </c>
      <c r="K88" s="38" t="e">
        <f t="shared" si="45"/>
        <v>#REF!</v>
      </c>
      <c r="L88" s="36" t="e">
        <f t="shared" si="46"/>
        <v>#REF!</v>
      </c>
      <c r="M88" s="37">
        <v>4</v>
      </c>
      <c r="N88" s="7"/>
      <c r="O88" s="39">
        <v>1</v>
      </c>
      <c r="P88" s="39">
        <v>4</v>
      </c>
      <c r="Q88" s="39">
        <v>1</v>
      </c>
      <c r="R88" s="6"/>
      <c r="S88" s="6"/>
      <c r="T88" s="6"/>
      <c r="U88" s="6"/>
      <c r="V88" s="37">
        <v>1</v>
      </c>
      <c r="W88" s="37">
        <v>3</v>
      </c>
      <c r="X88" s="37">
        <v>0</v>
      </c>
    </row>
    <row r="89" spans="1:24" s="23" customFormat="1" x14ac:dyDescent="0.25">
      <c r="A89" s="52" t="s">
        <v>73</v>
      </c>
      <c r="B89" s="52"/>
      <c r="C89" s="42">
        <f>SUM(C84:C88)</f>
        <v>439.4</v>
      </c>
      <c r="D89" s="42">
        <v>389.4</v>
      </c>
      <c r="E89" s="42">
        <v>389.4</v>
      </c>
      <c r="F89" s="42">
        <v>704</v>
      </c>
      <c r="G89" s="42">
        <v>640</v>
      </c>
      <c r="H89" s="42">
        <v>190</v>
      </c>
      <c r="I89" s="18">
        <f t="shared" si="43"/>
        <v>1.6021847974510697</v>
      </c>
      <c r="J89" s="18">
        <f t="shared" si="44"/>
        <v>1.6435541859270675</v>
      </c>
      <c r="K89" s="18">
        <f t="shared" si="45"/>
        <v>0.48793014894709813</v>
      </c>
      <c r="L89" s="24">
        <f t="shared" si="46"/>
        <v>12.631578947368421</v>
      </c>
      <c r="M89" s="42">
        <f>SUM(M84:M88)</f>
        <v>24</v>
      </c>
      <c r="N89" s="19">
        <v>0</v>
      </c>
      <c r="O89" s="42">
        <f>SUM(O84:O88)</f>
        <v>2</v>
      </c>
      <c r="P89" s="42">
        <f>SUM(P84:P88)</f>
        <v>24</v>
      </c>
      <c r="Q89" s="42">
        <f>SUM(Q84:Q88)</f>
        <v>4</v>
      </c>
      <c r="R89" s="6"/>
      <c r="S89" s="6"/>
      <c r="T89" s="6"/>
      <c r="U89" s="6"/>
      <c r="V89" s="42">
        <f>SUM(V84:V88)</f>
        <v>2</v>
      </c>
      <c r="W89" s="42">
        <f t="shared" ref="W89:X89" si="47">SUM(W84:W88)</f>
        <v>20</v>
      </c>
      <c r="X89" s="42">
        <f t="shared" si="47"/>
        <v>2</v>
      </c>
    </row>
    <row r="90" spans="1:24" s="23" customFormat="1" ht="15.75" customHeight="1" x14ac:dyDescent="0.25">
      <c r="A90" s="57" t="s">
        <v>57</v>
      </c>
      <c r="B90" s="58"/>
      <c r="C90" s="58"/>
      <c r="D90" s="58"/>
      <c r="E90" s="58"/>
      <c r="F90" s="58"/>
      <c r="G90" s="58"/>
      <c r="H90" s="58"/>
      <c r="I90" s="58"/>
      <c r="J90" s="58"/>
      <c r="K90" s="58"/>
      <c r="L90" s="58"/>
      <c r="M90" s="58"/>
      <c r="N90" s="58"/>
      <c r="O90" s="58"/>
      <c r="P90" s="58"/>
      <c r="Q90" s="58"/>
      <c r="R90" s="58"/>
      <c r="S90" s="58"/>
      <c r="T90" s="58"/>
      <c r="U90" s="58"/>
      <c r="V90" s="58"/>
      <c r="W90" s="58"/>
      <c r="X90" s="59"/>
    </row>
    <row r="91" spans="1:24" ht="32.25" customHeight="1" x14ac:dyDescent="0.25">
      <c r="A91" s="37" t="s">
        <v>0</v>
      </c>
      <c r="B91" s="4" t="s">
        <v>10</v>
      </c>
      <c r="C91" s="37">
        <v>343.5</v>
      </c>
      <c r="D91" s="5">
        <v>343.5</v>
      </c>
      <c r="E91" s="5">
        <v>343.5</v>
      </c>
      <c r="F91" s="37">
        <v>533</v>
      </c>
      <c r="G91" s="37">
        <v>557</v>
      </c>
      <c r="H91" s="37">
        <v>139</v>
      </c>
      <c r="I91" s="38">
        <f>F91/C91</f>
        <v>1.5516739446870451</v>
      </c>
      <c r="J91" s="38">
        <f>G91/D91</f>
        <v>1.6215429403202328</v>
      </c>
      <c r="K91" s="38">
        <f t="shared" ref="K91:K100" si="48">H91/E91</f>
        <v>0.40465793304221254</v>
      </c>
      <c r="L91" s="36">
        <f t="shared" ref="L91:L100" si="49">M91*100/H91</f>
        <v>16.546762589928058</v>
      </c>
      <c r="M91" s="8">
        <v>23</v>
      </c>
      <c r="N91" s="7"/>
      <c r="O91" s="39">
        <v>2</v>
      </c>
      <c r="P91" s="39">
        <v>18</v>
      </c>
      <c r="Q91" s="39">
        <v>5</v>
      </c>
      <c r="R91" s="29">
        <v>20</v>
      </c>
      <c r="S91" s="6">
        <v>2</v>
      </c>
      <c r="T91" s="6">
        <v>18</v>
      </c>
      <c r="U91" s="6">
        <v>5</v>
      </c>
      <c r="V91" s="37">
        <v>2</v>
      </c>
      <c r="W91" s="37">
        <v>17</v>
      </c>
      <c r="X91" s="37">
        <v>4</v>
      </c>
    </row>
    <row r="92" spans="1:24" ht="42.75" customHeight="1" x14ac:dyDescent="0.25">
      <c r="A92" s="37" t="s">
        <v>1</v>
      </c>
      <c r="B92" s="4" t="s">
        <v>77</v>
      </c>
      <c r="C92" s="37">
        <v>15.7</v>
      </c>
      <c r="D92" s="37">
        <v>15.7</v>
      </c>
      <c r="E92" s="37">
        <v>15.7</v>
      </c>
      <c r="F92" s="37">
        <v>24</v>
      </c>
      <c r="G92" s="37">
        <v>25</v>
      </c>
      <c r="H92" s="37">
        <v>7</v>
      </c>
      <c r="I92" s="38">
        <f t="shared" ref="I92:I99" si="50">F92/C92</f>
        <v>1.5286624203821657</v>
      </c>
      <c r="J92" s="38">
        <f t="shared" ref="J92:J99" si="51">G92/D92</f>
        <v>1.5923566878980893</v>
      </c>
      <c r="K92" s="38">
        <f t="shared" si="48"/>
        <v>0.44585987261146498</v>
      </c>
      <c r="L92" s="36">
        <f t="shared" si="49"/>
        <v>14.285714285714286</v>
      </c>
      <c r="M92" s="8">
        <v>1</v>
      </c>
      <c r="N92" s="7"/>
      <c r="O92" s="39">
        <v>0</v>
      </c>
      <c r="P92" s="39">
        <v>1</v>
      </c>
      <c r="Q92" s="39">
        <v>0</v>
      </c>
      <c r="R92" s="29">
        <v>2</v>
      </c>
      <c r="S92" s="6">
        <v>0</v>
      </c>
      <c r="T92" s="6">
        <v>2</v>
      </c>
      <c r="U92" s="6">
        <v>0</v>
      </c>
      <c r="V92" s="37">
        <v>0</v>
      </c>
      <c r="W92" s="37">
        <v>1</v>
      </c>
      <c r="X92" s="37">
        <v>0</v>
      </c>
    </row>
    <row r="93" spans="1:24" ht="42.75" customHeight="1" x14ac:dyDescent="0.25">
      <c r="A93" s="37" t="s">
        <v>2</v>
      </c>
      <c r="B93" s="4" t="s">
        <v>66</v>
      </c>
      <c r="C93" s="37">
        <v>17.899999999999999</v>
      </c>
      <c r="D93" s="5">
        <v>17.899999999999999</v>
      </c>
      <c r="E93" s="5">
        <v>17.899999999999999</v>
      </c>
      <c r="F93" s="37">
        <v>28</v>
      </c>
      <c r="G93" s="37">
        <v>29</v>
      </c>
      <c r="H93" s="37">
        <v>7</v>
      </c>
      <c r="I93" s="38">
        <f t="shared" si="50"/>
        <v>1.564245810055866</v>
      </c>
      <c r="J93" s="38">
        <f t="shared" si="51"/>
        <v>1.6201117318435756</v>
      </c>
      <c r="K93" s="38">
        <f t="shared" si="48"/>
        <v>0.39106145251396651</v>
      </c>
      <c r="L93" s="36">
        <f t="shared" si="49"/>
        <v>14.285714285714286</v>
      </c>
      <c r="M93" s="8">
        <v>1</v>
      </c>
      <c r="N93" s="7"/>
      <c r="O93" s="39">
        <v>0</v>
      </c>
      <c r="P93" s="39">
        <v>1</v>
      </c>
      <c r="Q93" s="39">
        <v>0</v>
      </c>
      <c r="R93" s="29">
        <v>1</v>
      </c>
      <c r="S93" s="6">
        <v>0</v>
      </c>
      <c r="T93" s="6">
        <v>3</v>
      </c>
      <c r="U93" s="6">
        <v>0</v>
      </c>
      <c r="V93" s="37">
        <v>0</v>
      </c>
      <c r="W93" s="37">
        <v>1</v>
      </c>
      <c r="X93" s="37">
        <v>0</v>
      </c>
    </row>
    <row r="94" spans="1:24" ht="31.5" customHeight="1" x14ac:dyDescent="0.25">
      <c r="A94" s="37" t="s">
        <v>3</v>
      </c>
      <c r="B94" s="4" t="s">
        <v>33</v>
      </c>
      <c r="C94" s="37">
        <v>15.2</v>
      </c>
      <c r="D94" s="37">
        <v>15.2</v>
      </c>
      <c r="E94" s="37">
        <v>15.2</v>
      </c>
      <c r="F94" s="37">
        <v>24</v>
      </c>
      <c r="G94" s="37">
        <v>25</v>
      </c>
      <c r="H94" s="37">
        <v>7</v>
      </c>
      <c r="I94" s="38">
        <f t="shared" si="50"/>
        <v>1.5789473684210527</v>
      </c>
      <c r="J94" s="38">
        <f t="shared" si="51"/>
        <v>1.6447368421052633</v>
      </c>
      <c r="K94" s="38">
        <f t="shared" si="48"/>
        <v>0.46052631578947373</v>
      </c>
      <c r="L94" s="36">
        <f t="shared" si="49"/>
        <v>14.285714285714286</v>
      </c>
      <c r="M94" s="8">
        <v>1</v>
      </c>
      <c r="N94" s="7"/>
      <c r="O94" s="39">
        <v>0</v>
      </c>
      <c r="P94" s="39">
        <v>1</v>
      </c>
      <c r="Q94" s="39">
        <v>0</v>
      </c>
      <c r="R94" s="29">
        <v>1</v>
      </c>
      <c r="S94" s="6">
        <v>0</v>
      </c>
      <c r="T94" s="6">
        <v>2</v>
      </c>
      <c r="U94" s="6">
        <v>0</v>
      </c>
      <c r="V94" s="37">
        <v>0</v>
      </c>
      <c r="W94" s="37">
        <v>1</v>
      </c>
      <c r="X94" s="37">
        <v>0</v>
      </c>
    </row>
    <row r="95" spans="1:24" ht="39.75" customHeight="1" x14ac:dyDescent="0.25">
      <c r="A95" s="37" t="s">
        <v>4</v>
      </c>
      <c r="B95" s="4" t="s">
        <v>34</v>
      </c>
      <c r="C95" s="37">
        <v>12.9</v>
      </c>
      <c r="D95" s="37">
        <v>12.9</v>
      </c>
      <c r="E95" s="37">
        <v>12.9</v>
      </c>
      <c r="F95" s="37">
        <v>20</v>
      </c>
      <c r="G95" s="37">
        <v>21</v>
      </c>
      <c r="H95" s="37">
        <v>7</v>
      </c>
      <c r="I95" s="38">
        <f t="shared" si="50"/>
        <v>1.5503875968992247</v>
      </c>
      <c r="J95" s="38">
        <f t="shared" si="51"/>
        <v>1.6279069767441861</v>
      </c>
      <c r="K95" s="38">
        <f t="shared" si="48"/>
        <v>0.54263565891472865</v>
      </c>
      <c r="L95" s="36">
        <f t="shared" si="49"/>
        <v>14.285714285714286</v>
      </c>
      <c r="M95" s="8">
        <v>1</v>
      </c>
      <c r="N95" s="7"/>
      <c r="O95" s="39">
        <v>0</v>
      </c>
      <c r="P95" s="39">
        <v>1</v>
      </c>
      <c r="Q95" s="39">
        <v>0</v>
      </c>
      <c r="R95" s="29">
        <v>1</v>
      </c>
      <c r="S95" s="6">
        <v>0</v>
      </c>
      <c r="T95" s="6">
        <v>1</v>
      </c>
      <c r="U95" s="6">
        <v>0</v>
      </c>
      <c r="V95" s="37">
        <v>0</v>
      </c>
      <c r="W95" s="37">
        <v>1</v>
      </c>
      <c r="X95" s="37">
        <v>0</v>
      </c>
    </row>
    <row r="96" spans="1:24" ht="18" customHeight="1" x14ac:dyDescent="0.25">
      <c r="A96" s="37" t="s">
        <v>89</v>
      </c>
      <c r="B96" s="4" t="s">
        <v>35</v>
      </c>
      <c r="C96" s="37">
        <v>16.5</v>
      </c>
      <c r="D96" s="37">
        <v>14.5</v>
      </c>
      <c r="E96" s="37">
        <v>14.5</v>
      </c>
      <c r="F96" s="37">
        <v>26</v>
      </c>
      <c r="G96" s="37">
        <v>24</v>
      </c>
      <c r="H96" s="37">
        <v>7</v>
      </c>
      <c r="I96" s="38">
        <f t="shared" si="50"/>
        <v>1.5757575757575757</v>
      </c>
      <c r="J96" s="38">
        <f t="shared" si="51"/>
        <v>1.6551724137931034</v>
      </c>
      <c r="K96" s="38">
        <f t="shared" si="48"/>
        <v>0.48275862068965519</v>
      </c>
      <c r="L96" s="36">
        <f t="shared" si="49"/>
        <v>14.285714285714286</v>
      </c>
      <c r="M96" s="8">
        <v>1</v>
      </c>
      <c r="N96" s="7"/>
      <c r="O96" s="39">
        <v>0</v>
      </c>
      <c r="P96" s="39">
        <v>1</v>
      </c>
      <c r="Q96" s="39">
        <v>0</v>
      </c>
      <c r="R96" s="29">
        <v>1</v>
      </c>
      <c r="S96" s="6"/>
      <c r="T96" s="6"/>
      <c r="U96" s="6"/>
      <c r="V96" s="37">
        <v>0</v>
      </c>
      <c r="W96" s="37">
        <v>1</v>
      </c>
      <c r="X96" s="37">
        <v>0</v>
      </c>
    </row>
    <row r="97" spans="1:24" ht="27.75" customHeight="1" x14ac:dyDescent="0.25">
      <c r="A97" s="37" t="s">
        <v>93</v>
      </c>
      <c r="B97" s="4" t="s">
        <v>13</v>
      </c>
      <c r="C97" s="37">
        <v>17.3</v>
      </c>
      <c r="D97" s="37">
        <v>17.3</v>
      </c>
      <c r="E97" s="37">
        <v>17.3</v>
      </c>
      <c r="F97" s="37">
        <v>27</v>
      </c>
      <c r="G97" s="37">
        <v>28</v>
      </c>
      <c r="H97" s="37">
        <v>7</v>
      </c>
      <c r="I97" s="38">
        <f t="shared" si="50"/>
        <v>1.5606936416184971</v>
      </c>
      <c r="J97" s="38">
        <f t="shared" si="51"/>
        <v>1.6184971098265895</v>
      </c>
      <c r="K97" s="38">
        <f t="shared" si="48"/>
        <v>0.40462427745664736</v>
      </c>
      <c r="L97" s="36">
        <f t="shared" si="49"/>
        <v>14.285714285714286</v>
      </c>
      <c r="M97" s="8">
        <v>1</v>
      </c>
      <c r="N97" s="7"/>
      <c r="O97" s="39">
        <v>0</v>
      </c>
      <c r="P97" s="39">
        <v>1</v>
      </c>
      <c r="Q97" s="39">
        <v>0</v>
      </c>
      <c r="R97" s="29">
        <v>1</v>
      </c>
      <c r="S97" s="6">
        <v>0</v>
      </c>
      <c r="T97" s="6">
        <v>2</v>
      </c>
      <c r="U97" s="6">
        <v>0</v>
      </c>
      <c r="V97" s="37">
        <v>0</v>
      </c>
      <c r="W97" s="37">
        <v>1</v>
      </c>
      <c r="X97" s="37">
        <v>0</v>
      </c>
    </row>
    <row r="98" spans="1:24" ht="26.25" customHeight="1" x14ac:dyDescent="0.25">
      <c r="A98" s="37" t="s">
        <v>80</v>
      </c>
      <c r="B98" s="4" t="s">
        <v>25</v>
      </c>
      <c r="C98" s="37">
        <v>18.899999999999999</v>
      </c>
      <c r="D98" s="37">
        <v>18.899999999999999</v>
      </c>
      <c r="E98" s="37">
        <v>18.899999999999999</v>
      </c>
      <c r="F98" s="37">
        <v>29</v>
      </c>
      <c r="G98" s="37">
        <v>31</v>
      </c>
      <c r="H98" s="37">
        <v>8</v>
      </c>
      <c r="I98" s="38">
        <f t="shared" si="50"/>
        <v>1.5343915343915344</v>
      </c>
      <c r="J98" s="38">
        <f t="shared" si="51"/>
        <v>1.6402116402116402</v>
      </c>
      <c r="K98" s="38">
        <f t="shared" si="48"/>
        <v>0.42328042328042331</v>
      </c>
      <c r="L98" s="36">
        <f t="shared" si="49"/>
        <v>12.5</v>
      </c>
      <c r="M98" s="8">
        <v>1</v>
      </c>
      <c r="N98" s="7"/>
      <c r="O98" s="39">
        <v>0</v>
      </c>
      <c r="P98" s="39">
        <v>1</v>
      </c>
      <c r="Q98" s="39">
        <v>0</v>
      </c>
      <c r="R98" s="29">
        <v>2</v>
      </c>
      <c r="S98" s="6">
        <v>0</v>
      </c>
      <c r="T98" s="6">
        <v>2</v>
      </c>
      <c r="U98" s="6">
        <v>0</v>
      </c>
      <c r="V98" s="37">
        <v>0</v>
      </c>
      <c r="W98" s="37">
        <v>1</v>
      </c>
      <c r="X98" s="37">
        <v>0</v>
      </c>
    </row>
    <row r="99" spans="1:24" ht="15.75" customHeight="1" x14ac:dyDescent="0.25">
      <c r="A99" s="37" t="s">
        <v>81</v>
      </c>
      <c r="B99" s="4" t="s">
        <v>14</v>
      </c>
      <c r="C99" s="37">
        <f>C100-C91-C92-C93-C94-C95-C96-C97-C98</f>
        <v>109.99999999999997</v>
      </c>
      <c r="D99" s="37">
        <f>D100-D91-D92-D93-D94-D95-D96-D97-D98</f>
        <v>111.99999999999997</v>
      </c>
      <c r="E99" s="5" t="e">
        <f>E100-E91-E92-E93-E94-E95-E96-E97-E98-#REF!</f>
        <v>#REF!</v>
      </c>
      <c r="F99" s="37">
        <f>F100-F91-F92-F93-F94-F95-F96-F97-F98</f>
        <v>171</v>
      </c>
      <c r="G99" s="37">
        <f>G100-G91-G92-G93-G94-G95-G96-G97-G98</f>
        <v>181</v>
      </c>
      <c r="H99" s="37" t="e">
        <f>H100-H91-H92-H93-H94-H95-H96-H97-H98-#REF!</f>
        <v>#REF!</v>
      </c>
      <c r="I99" s="38">
        <f t="shared" si="50"/>
        <v>1.5545454545454549</v>
      </c>
      <c r="J99" s="38">
        <f t="shared" si="51"/>
        <v>1.616071428571429</v>
      </c>
      <c r="K99" s="38" t="e">
        <f t="shared" si="48"/>
        <v>#REF!</v>
      </c>
      <c r="L99" s="36" t="e">
        <f t="shared" si="49"/>
        <v>#REF!</v>
      </c>
      <c r="M99" s="8">
        <v>6</v>
      </c>
      <c r="N99" s="7"/>
      <c r="O99" s="39">
        <v>2</v>
      </c>
      <c r="P99" s="39">
        <v>5</v>
      </c>
      <c r="Q99" s="39">
        <v>1</v>
      </c>
      <c r="R99" s="6"/>
      <c r="S99" s="6"/>
      <c r="T99" s="6"/>
      <c r="U99" s="6"/>
      <c r="V99" s="37">
        <v>1</v>
      </c>
      <c r="W99" s="37">
        <v>4</v>
      </c>
      <c r="X99" s="37">
        <v>1</v>
      </c>
    </row>
    <row r="100" spans="1:24" s="23" customFormat="1" ht="16.5" customHeight="1" x14ac:dyDescent="0.25">
      <c r="A100" s="52" t="s">
        <v>105</v>
      </c>
      <c r="B100" s="52"/>
      <c r="C100" s="42">
        <v>567.9</v>
      </c>
      <c r="D100" s="17">
        <v>567.9</v>
      </c>
      <c r="E100" s="17">
        <v>562.29999999999995</v>
      </c>
      <c r="F100" s="42">
        <v>882</v>
      </c>
      <c r="G100" s="42">
        <v>921</v>
      </c>
      <c r="H100" s="42">
        <v>227</v>
      </c>
      <c r="I100" s="18">
        <f t="shared" ref="I100" si="52">F100/C100</f>
        <v>1.5530903328050714</v>
      </c>
      <c r="J100" s="18">
        <f t="shared" ref="J100" si="53">G100/D100</f>
        <v>1.6217643951399896</v>
      </c>
      <c r="K100" s="18">
        <f t="shared" si="48"/>
        <v>0.40369909301084833</v>
      </c>
      <c r="L100" s="24">
        <f t="shared" si="49"/>
        <v>15.859030837004406</v>
      </c>
      <c r="M100" s="19">
        <f>SUM(M91:M99)</f>
        <v>36</v>
      </c>
      <c r="N100" s="19">
        <v>0</v>
      </c>
      <c r="O100" s="42">
        <f>SUM(O91:O99)</f>
        <v>4</v>
      </c>
      <c r="P100" s="42">
        <f>SUM(P91:P99)</f>
        <v>30</v>
      </c>
      <c r="Q100" s="42">
        <f>SUM(Q91:Q99)</f>
        <v>6</v>
      </c>
      <c r="R100" s="6">
        <f>SUM(O100:Q100)</f>
        <v>40</v>
      </c>
      <c r="S100" s="6"/>
      <c r="T100" s="6"/>
      <c r="U100" s="6"/>
      <c r="V100" s="19">
        <f t="shared" ref="V100:X100" si="54">SUM(V91:V99)</f>
        <v>3</v>
      </c>
      <c r="W100" s="19">
        <f t="shared" si="54"/>
        <v>28</v>
      </c>
      <c r="X100" s="19">
        <f t="shared" si="54"/>
        <v>5</v>
      </c>
    </row>
    <row r="101" spans="1:24" s="23" customFormat="1" ht="15.75" customHeight="1" x14ac:dyDescent="0.25">
      <c r="A101" s="57" t="s">
        <v>52</v>
      </c>
      <c r="B101" s="58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58"/>
      <c r="N101" s="58"/>
      <c r="O101" s="58"/>
      <c r="P101" s="58"/>
      <c r="Q101" s="58"/>
      <c r="R101" s="58"/>
      <c r="S101" s="58"/>
      <c r="T101" s="58"/>
      <c r="U101" s="58"/>
      <c r="V101" s="58"/>
      <c r="W101" s="58"/>
      <c r="X101" s="59"/>
    </row>
    <row r="102" spans="1:24" ht="25.5" customHeight="1" x14ac:dyDescent="0.25">
      <c r="A102" s="37" t="s">
        <v>0</v>
      </c>
      <c r="B102" s="4" t="s">
        <v>12</v>
      </c>
      <c r="C102" s="37">
        <v>629</v>
      </c>
      <c r="D102" s="37">
        <v>629</v>
      </c>
      <c r="E102" s="37">
        <v>629</v>
      </c>
      <c r="F102" s="37">
        <v>1138</v>
      </c>
      <c r="G102" s="37">
        <v>1108</v>
      </c>
      <c r="H102" s="37">
        <v>132</v>
      </c>
      <c r="I102" s="38">
        <f t="shared" ref="I102:I105" si="55">F102/C102</f>
        <v>1.809220985691574</v>
      </c>
      <c r="J102" s="38">
        <f t="shared" ref="J102:J105" si="56">G102/D102</f>
        <v>1.7615262321144673</v>
      </c>
      <c r="K102" s="38">
        <f t="shared" ref="K102:K105" si="57">H102/E102</f>
        <v>0.20985691573926868</v>
      </c>
      <c r="L102" s="36">
        <f>M102*100/H102</f>
        <v>42.424242424242422</v>
      </c>
      <c r="M102" s="37">
        <v>56</v>
      </c>
      <c r="N102" s="7"/>
      <c r="O102" s="39">
        <v>5</v>
      </c>
      <c r="P102" s="39">
        <v>40</v>
      </c>
      <c r="Q102" s="39">
        <v>10</v>
      </c>
      <c r="R102" s="29">
        <v>20</v>
      </c>
      <c r="S102" s="6">
        <v>5</v>
      </c>
      <c r="T102" s="6">
        <v>40</v>
      </c>
      <c r="U102" s="6">
        <v>10</v>
      </c>
      <c r="V102" s="37">
        <v>5</v>
      </c>
      <c r="W102" s="37">
        <v>40</v>
      </c>
      <c r="X102" s="37">
        <v>11</v>
      </c>
    </row>
    <row r="103" spans="1:24" ht="32.25" customHeight="1" x14ac:dyDescent="0.25">
      <c r="A103" s="37" t="s">
        <v>97</v>
      </c>
      <c r="B103" s="4" t="s">
        <v>60</v>
      </c>
      <c r="C103" s="37">
        <v>122</v>
      </c>
      <c r="D103" s="37">
        <v>122</v>
      </c>
      <c r="E103" s="37">
        <v>122</v>
      </c>
      <c r="F103" s="37">
        <v>221</v>
      </c>
      <c r="G103" s="37">
        <v>215</v>
      </c>
      <c r="H103" s="37">
        <v>26</v>
      </c>
      <c r="I103" s="38">
        <f t="shared" si="55"/>
        <v>1.8114754098360655</v>
      </c>
      <c r="J103" s="38">
        <f t="shared" si="56"/>
        <v>1.7622950819672132</v>
      </c>
      <c r="K103" s="38">
        <f t="shared" si="57"/>
        <v>0.21311475409836064</v>
      </c>
      <c r="L103" s="36">
        <f>M103*100/H103</f>
        <v>38.46153846153846</v>
      </c>
      <c r="M103" s="14">
        <v>10</v>
      </c>
      <c r="N103" s="15"/>
      <c r="O103" s="16">
        <v>1</v>
      </c>
      <c r="P103" s="16">
        <v>7</v>
      </c>
      <c r="Q103" s="16">
        <v>1</v>
      </c>
      <c r="R103" s="29">
        <v>3</v>
      </c>
      <c r="S103" s="6">
        <v>1</v>
      </c>
      <c r="T103" s="6">
        <v>9</v>
      </c>
      <c r="U103" s="6">
        <v>2</v>
      </c>
      <c r="V103" s="37">
        <v>1</v>
      </c>
      <c r="W103" s="37">
        <v>7</v>
      </c>
      <c r="X103" s="37">
        <v>2</v>
      </c>
    </row>
    <row r="104" spans="1:24" ht="16.5" customHeight="1" x14ac:dyDescent="0.25">
      <c r="A104" s="37" t="s">
        <v>68</v>
      </c>
      <c r="B104" s="4" t="s">
        <v>14</v>
      </c>
      <c r="C104" s="37" t="e">
        <f>C105-C102-#REF!-C103</f>
        <v>#REF!</v>
      </c>
      <c r="D104" s="37" t="e">
        <f>D105-D102-#REF!-D103</f>
        <v>#REF!</v>
      </c>
      <c r="E104" s="37" t="e">
        <f>E105-#REF!-E102-#REF!-E103</f>
        <v>#REF!</v>
      </c>
      <c r="F104" s="37" t="e">
        <f>F105-F102-#REF!-F103</f>
        <v>#REF!</v>
      </c>
      <c r="G104" s="37" t="e">
        <f>G105-G102-#REF!-G103</f>
        <v>#REF!</v>
      </c>
      <c r="H104" s="37" t="e">
        <f>H105-#REF!-H102-#REF!-H103</f>
        <v>#REF!</v>
      </c>
      <c r="I104" s="38" t="e">
        <f>F104/C104</f>
        <v>#REF!</v>
      </c>
      <c r="J104" s="38" t="e">
        <f t="shared" si="56"/>
        <v>#REF!</v>
      </c>
      <c r="K104" s="38" t="e">
        <f t="shared" si="57"/>
        <v>#REF!</v>
      </c>
      <c r="L104" s="36" t="e">
        <f>M104*100/H104</f>
        <v>#REF!</v>
      </c>
      <c r="M104" s="37">
        <v>28</v>
      </c>
      <c r="N104" s="7"/>
      <c r="O104" s="39">
        <v>3</v>
      </c>
      <c r="P104" s="39">
        <v>18</v>
      </c>
      <c r="Q104" s="39">
        <v>5</v>
      </c>
      <c r="R104" s="6"/>
      <c r="S104" s="6"/>
      <c r="T104" s="6"/>
      <c r="U104" s="6"/>
      <c r="V104" s="37">
        <v>5</v>
      </c>
      <c r="W104" s="37">
        <v>18</v>
      </c>
      <c r="X104" s="37">
        <v>5</v>
      </c>
    </row>
    <row r="105" spans="1:24" s="23" customFormat="1" x14ac:dyDescent="0.25">
      <c r="A105" s="52" t="s">
        <v>73</v>
      </c>
      <c r="B105" s="52"/>
      <c r="C105" s="42">
        <v>1098.2</v>
      </c>
      <c r="D105" s="42">
        <v>1098.2</v>
      </c>
      <c r="E105" s="42">
        <v>1098.2</v>
      </c>
      <c r="F105" s="42">
        <v>1986</v>
      </c>
      <c r="G105" s="42">
        <v>1934</v>
      </c>
      <c r="H105" s="42">
        <v>230</v>
      </c>
      <c r="I105" s="18">
        <f t="shared" si="55"/>
        <v>1.8084137679839738</v>
      </c>
      <c r="J105" s="18">
        <f t="shared" si="56"/>
        <v>1.7610635585503551</v>
      </c>
      <c r="K105" s="18">
        <f t="shared" si="57"/>
        <v>0.20943361864869786</v>
      </c>
      <c r="L105" s="24">
        <f>M105*100/H105</f>
        <v>40.869565217391305</v>
      </c>
      <c r="M105" s="42">
        <f>SUM(M102:M104)</f>
        <v>94</v>
      </c>
      <c r="N105" s="19">
        <v>0</v>
      </c>
      <c r="O105" s="42">
        <f>SUM(O102:O104)</f>
        <v>9</v>
      </c>
      <c r="P105" s="42">
        <f>SUM(P102:P104)</f>
        <v>65</v>
      </c>
      <c r="Q105" s="42">
        <f>SUM(Q102:Q104)</f>
        <v>16</v>
      </c>
      <c r="R105" s="6"/>
      <c r="S105" s="6"/>
      <c r="T105" s="6"/>
      <c r="U105" s="6"/>
      <c r="V105" s="42">
        <f>SUM(V102:V104)</f>
        <v>11</v>
      </c>
      <c r="W105" s="42">
        <f>SUM(W102:W104)</f>
        <v>65</v>
      </c>
      <c r="X105" s="42">
        <f>SUM(X102:X104)</f>
        <v>18</v>
      </c>
    </row>
    <row r="106" spans="1:24" s="23" customFormat="1" ht="15.75" customHeight="1" x14ac:dyDescent="0.25">
      <c r="A106" s="57" t="s">
        <v>53</v>
      </c>
      <c r="B106" s="58"/>
      <c r="C106" s="58"/>
      <c r="D106" s="58"/>
      <c r="E106" s="58"/>
      <c r="F106" s="58"/>
      <c r="G106" s="58"/>
      <c r="H106" s="58"/>
      <c r="I106" s="58"/>
      <c r="J106" s="58"/>
      <c r="K106" s="58"/>
      <c r="L106" s="58"/>
      <c r="M106" s="58"/>
      <c r="N106" s="58"/>
      <c r="O106" s="58"/>
      <c r="P106" s="58"/>
      <c r="Q106" s="58"/>
      <c r="R106" s="58"/>
      <c r="S106" s="58"/>
      <c r="T106" s="58"/>
      <c r="U106" s="58"/>
      <c r="V106" s="58"/>
      <c r="W106" s="58"/>
      <c r="X106" s="59"/>
    </row>
    <row r="107" spans="1:24" ht="30.75" customHeight="1" x14ac:dyDescent="0.25">
      <c r="A107" s="37" t="s">
        <v>0</v>
      </c>
      <c r="B107" s="4" t="s">
        <v>10</v>
      </c>
      <c r="C107" s="37">
        <v>90.2</v>
      </c>
      <c r="D107" s="37">
        <v>90.2</v>
      </c>
      <c r="E107" s="37">
        <v>90.2</v>
      </c>
      <c r="F107" s="37">
        <v>107</v>
      </c>
      <c r="G107" s="37">
        <v>111</v>
      </c>
      <c r="H107" s="37">
        <v>14</v>
      </c>
      <c r="I107" s="38">
        <f>F107/C107</f>
        <v>1.1862527716186253</v>
      </c>
      <c r="J107" s="38">
        <f>G107/D107</f>
        <v>1.2305986696230597</v>
      </c>
      <c r="K107" s="38">
        <f>H107/E107</f>
        <v>0.15521064301552107</v>
      </c>
      <c r="L107" s="36">
        <f>M107*100/H107</f>
        <v>14.285714285714286</v>
      </c>
      <c r="M107" s="15">
        <v>2</v>
      </c>
      <c r="N107" s="15"/>
      <c r="O107" s="16">
        <v>0</v>
      </c>
      <c r="P107" s="16">
        <v>4</v>
      </c>
      <c r="Q107" s="16">
        <v>1</v>
      </c>
      <c r="R107" s="29">
        <v>2</v>
      </c>
      <c r="S107" s="6">
        <v>0</v>
      </c>
      <c r="T107" s="6">
        <v>5</v>
      </c>
      <c r="U107" s="6">
        <v>1</v>
      </c>
      <c r="V107" s="37">
        <v>0</v>
      </c>
      <c r="W107" s="37">
        <v>2</v>
      </c>
      <c r="X107" s="37">
        <v>0</v>
      </c>
    </row>
    <row r="108" spans="1:24" ht="20.25" customHeight="1" x14ac:dyDescent="0.25">
      <c r="A108" s="37" t="s">
        <v>1</v>
      </c>
      <c r="B108" s="4" t="s">
        <v>14</v>
      </c>
      <c r="C108" s="37">
        <f t="shared" ref="C108:H108" si="58">C109-C107</f>
        <v>635.29999999999995</v>
      </c>
      <c r="D108" s="37">
        <f t="shared" si="58"/>
        <v>635.29999999999995</v>
      </c>
      <c r="E108" s="37">
        <f t="shared" si="58"/>
        <v>715.9</v>
      </c>
      <c r="F108" s="37">
        <f t="shared" si="58"/>
        <v>755</v>
      </c>
      <c r="G108" s="37">
        <f t="shared" si="58"/>
        <v>785</v>
      </c>
      <c r="H108" s="37">
        <f t="shared" si="58"/>
        <v>96</v>
      </c>
      <c r="I108" s="38">
        <f t="shared" ref="I108:I114" si="59">F108/C108</f>
        <v>1.188414922084055</v>
      </c>
      <c r="J108" s="38">
        <f t="shared" ref="J108:J114" si="60">G108/D108</f>
        <v>1.2356367070675272</v>
      </c>
      <c r="K108" s="38">
        <f t="shared" ref="K108:K114" si="61">H108/E108</f>
        <v>0.13409694091353541</v>
      </c>
      <c r="L108" s="36">
        <f>M108*100/H108</f>
        <v>20.833333333333332</v>
      </c>
      <c r="M108" s="15">
        <v>20</v>
      </c>
      <c r="N108" s="15"/>
      <c r="O108" s="16">
        <v>3</v>
      </c>
      <c r="P108" s="16">
        <v>29</v>
      </c>
      <c r="Q108" s="16">
        <v>7</v>
      </c>
      <c r="R108" s="6"/>
      <c r="S108" s="6"/>
      <c r="T108" s="6"/>
      <c r="U108" s="6"/>
      <c r="V108" s="37">
        <v>3</v>
      </c>
      <c r="W108" s="37">
        <v>13</v>
      </c>
      <c r="X108" s="37">
        <v>4</v>
      </c>
    </row>
    <row r="109" spans="1:24" s="23" customFormat="1" x14ac:dyDescent="0.25">
      <c r="A109" s="52" t="s">
        <v>75</v>
      </c>
      <c r="B109" s="52"/>
      <c r="C109" s="42">
        <v>725.5</v>
      </c>
      <c r="D109" s="42">
        <v>725.5</v>
      </c>
      <c r="E109" s="42">
        <v>806.1</v>
      </c>
      <c r="F109" s="42">
        <v>862</v>
      </c>
      <c r="G109" s="42">
        <v>896</v>
      </c>
      <c r="H109" s="42">
        <v>110</v>
      </c>
      <c r="I109" s="18">
        <f t="shared" si="59"/>
        <v>1.1881461061337009</v>
      </c>
      <c r="J109" s="18">
        <f t="shared" si="60"/>
        <v>1.2350103376981392</v>
      </c>
      <c r="K109" s="18">
        <f t="shared" si="61"/>
        <v>0.13645949634040441</v>
      </c>
      <c r="L109" s="24">
        <f>M109*100/H109</f>
        <v>20</v>
      </c>
      <c r="M109" s="21">
        <f>SUM(M107:M108)</f>
        <v>22</v>
      </c>
      <c r="N109" s="21">
        <v>0</v>
      </c>
      <c r="O109" s="44">
        <f>SUM(O107:O108)</f>
        <v>3</v>
      </c>
      <c r="P109" s="44">
        <f>SUM(P107:P108)</f>
        <v>33</v>
      </c>
      <c r="Q109" s="44">
        <f>SUM(Q107:Q108)</f>
        <v>8</v>
      </c>
      <c r="R109" s="6">
        <f>SUM(O109:Q109)</f>
        <v>44</v>
      </c>
      <c r="S109" s="6"/>
      <c r="T109" s="6"/>
      <c r="U109" s="6"/>
      <c r="V109" s="21">
        <f t="shared" ref="V109:X109" si="62">SUM(V107:V108)</f>
        <v>3</v>
      </c>
      <c r="W109" s="21">
        <f t="shared" si="62"/>
        <v>15</v>
      </c>
      <c r="X109" s="21">
        <f t="shared" si="62"/>
        <v>4</v>
      </c>
    </row>
    <row r="110" spans="1:24" s="23" customFormat="1" ht="15.75" customHeight="1" x14ac:dyDescent="0.25">
      <c r="A110" s="57" t="s">
        <v>59</v>
      </c>
      <c r="B110" s="58"/>
      <c r="C110" s="58"/>
      <c r="D110" s="58"/>
      <c r="E110" s="58"/>
      <c r="F110" s="58"/>
      <c r="G110" s="58"/>
      <c r="H110" s="58"/>
      <c r="I110" s="58"/>
      <c r="J110" s="58"/>
      <c r="K110" s="58"/>
      <c r="L110" s="58"/>
      <c r="M110" s="58"/>
      <c r="N110" s="58"/>
      <c r="O110" s="58"/>
      <c r="P110" s="58"/>
      <c r="Q110" s="58"/>
      <c r="R110" s="58"/>
      <c r="S110" s="58"/>
      <c r="T110" s="58"/>
      <c r="U110" s="58"/>
      <c r="V110" s="58"/>
      <c r="W110" s="58"/>
      <c r="X110" s="59"/>
    </row>
    <row r="111" spans="1:24" ht="30.75" customHeight="1" x14ac:dyDescent="0.25">
      <c r="A111" s="37" t="s">
        <v>94</v>
      </c>
      <c r="B111" s="4" t="s">
        <v>108</v>
      </c>
      <c r="C111" s="37">
        <v>58.6</v>
      </c>
      <c r="D111" s="37">
        <v>55.6</v>
      </c>
      <c r="E111" s="37">
        <v>55.6</v>
      </c>
      <c r="F111" s="37">
        <v>120</v>
      </c>
      <c r="G111" s="37">
        <v>128</v>
      </c>
      <c r="H111" s="37">
        <v>18</v>
      </c>
      <c r="I111" s="38">
        <f t="shared" si="59"/>
        <v>2.0477815699658701</v>
      </c>
      <c r="J111" s="38">
        <f t="shared" si="60"/>
        <v>2.3021582733812949</v>
      </c>
      <c r="K111" s="38">
        <f t="shared" si="61"/>
        <v>0.32374100719424459</v>
      </c>
      <c r="L111" s="36">
        <f>M111*100/H111</f>
        <v>44.444444444444443</v>
      </c>
      <c r="M111" s="14">
        <v>8</v>
      </c>
      <c r="N111" s="15"/>
      <c r="O111" s="16">
        <v>1</v>
      </c>
      <c r="P111" s="16">
        <v>6</v>
      </c>
      <c r="Q111" s="16">
        <v>1</v>
      </c>
      <c r="R111" s="29">
        <v>2</v>
      </c>
      <c r="S111" s="28">
        <v>1</v>
      </c>
      <c r="T111" s="28">
        <v>4</v>
      </c>
      <c r="U111" s="28">
        <v>3</v>
      </c>
      <c r="V111" s="37">
        <v>1</v>
      </c>
      <c r="W111" s="37">
        <v>6</v>
      </c>
      <c r="X111" s="37">
        <v>1</v>
      </c>
    </row>
    <row r="112" spans="1:24" ht="29.25" customHeight="1" x14ac:dyDescent="0.25">
      <c r="A112" s="37" t="s">
        <v>97</v>
      </c>
      <c r="B112" s="4" t="s">
        <v>79</v>
      </c>
      <c r="C112" s="49"/>
      <c r="D112" s="49"/>
      <c r="E112" s="37">
        <v>14.91</v>
      </c>
      <c r="F112" s="49"/>
      <c r="G112" s="49"/>
      <c r="H112" s="37">
        <v>7</v>
      </c>
      <c r="I112" s="38"/>
      <c r="J112" s="38"/>
      <c r="K112" s="38">
        <f t="shared" si="61"/>
        <v>0.46948356807511737</v>
      </c>
      <c r="L112" s="36">
        <f>M112*100/H112</f>
        <v>28.571428571428573</v>
      </c>
      <c r="M112" s="37">
        <v>2</v>
      </c>
      <c r="N112" s="7"/>
      <c r="O112" s="39"/>
      <c r="P112" s="39"/>
      <c r="Q112" s="39"/>
      <c r="R112" s="31"/>
      <c r="S112" s="6"/>
      <c r="T112" s="6"/>
      <c r="U112" s="6"/>
      <c r="V112" s="37">
        <v>0</v>
      </c>
      <c r="W112" s="37">
        <v>2</v>
      </c>
      <c r="X112" s="37">
        <v>0</v>
      </c>
    </row>
    <row r="113" spans="1:24" ht="18" customHeight="1" x14ac:dyDescent="0.25">
      <c r="A113" s="37" t="s">
        <v>68</v>
      </c>
      <c r="B113" s="4" t="s">
        <v>14</v>
      </c>
      <c r="C113" s="37" t="e">
        <f>C114-#REF!-C111-#REF!</f>
        <v>#REF!</v>
      </c>
      <c r="D113" s="5" t="e">
        <f>D114-#REF!-D111-#REF!</f>
        <v>#REF!</v>
      </c>
      <c r="E113" s="5">
        <f>E114-E111-E112</f>
        <v>117.49000000000001</v>
      </c>
      <c r="F113" s="37" t="e">
        <f>F114-#REF!-F111-#REF!-#REF!</f>
        <v>#REF!</v>
      </c>
      <c r="G113" s="37" t="e">
        <f>G114-#REF!-G111-#REF!</f>
        <v>#REF!</v>
      </c>
      <c r="H113" s="7">
        <f>H114-H111-H112</f>
        <v>35</v>
      </c>
      <c r="I113" s="38" t="e">
        <f t="shared" si="59"/>
        <v>#REF!</v>
      </c>
      <c r="J113" s="38" t="e">
        <f t="shared" si="60"/>
        <v>#REF!</v>
      </c>
      <c r="K113" s="38">
        <f t="shared" si="61"/>
        <v>0.29789769342071665</v>
      </c>
      <c r="L113" s="36">
        <f>M113*100/H113</f>
        <v>54.285714285714285</v>
      </c>
      <c r="M113" s="14">
        <v>19</v>
      </c>
      <c r="N113" s="15"/>
      <c r="O113" s="16">
        <v>1</v>
      </c>
      <c r="P113" s="16">
        <v>7</v>
      </c>
      <c r="Q113" s="16">
        <v>1</v>
      </c>
      <c r="R113" s="6"/>
      <c r="S113" s="6"/>
      <c r="T113" s="6"/>
      <c r="U113" s="6"/>
      <c r="V113" s="37">
        <v>2</v>
      </c>
      <c r="W113" s="37">
        <v>13</v>
      </c>
      <c r="X113" s="37">
        <v>4</v>
      </c>
    </row>
    <row r="114" spans="1:24" s="23" customFormat="1" x14ac:dyDescent="0.25">
      <c r="A114" s="52" t="s">
        <v>73</v>
      </c>
      <c r="B114" s="52"/>
      <c r="C114" s="42">
        <v>219</v>
      </c>
      <c r="D114" s="17">
        <v>188</v>
      </c>
      <c r="E114" s="17">
        <v>188</v>
      </c>
      <c r="F114" s="42">
        <v>447</v>
      </c>
      <c r="G114" s="42">
        <v>433</v>
      </c>
      <c r="H114" s="42">
        <v>60</v>
      </c>
      <c r="I114" s="18">
        <f t="shared" si="59"/>
        <v>2.0410958904109591</v>
      </c>
      <c r="J114" s="18">
        <f t="shared" si="60"/>
        <v>2.3031914893617023</v>
      </c>
      <c r="K114" s="18">
        <f t="shared" si="61"/>
        <v>0.31914893617021278</v>
      </c>
      <c r="L114" s="24">
        <f>M114*100/H114</f>
        <v>48.333333333333336</v>
      </c>
      <c r="M114" s="42">
        <f>SUM(M111:M113)</f>
        <v>29</v>
      </c>
      <c r="N114" s="19">
        <v>0</v>
      </c>
      <c r="O114" s="42">
        <f>SUM(O111:O113)</f>
        <v>2</v>
      </c>
      <c r="P114" s="42">
        <f>SUM(P111:P113)</f>
        <v>13</v>
      </c>
      <c r="Q114" s="42">
        <f>SUM(Q111:Q113)</f>
        <v>2</v>
      </c>
      <c r="R114" s="6">
        <f>SUM(O114:Q114)</f>
        <v>17</v>
      </c>
      <c r="S114" s="6"/>
      <c r="T114" s="6"/>
      <c r="U114" s="6"/>
      <c r="V114" s="42">
        <f t="shared" ref="V114:X114" si="63">SUM(V111:V113)</f>
        <v>3</v>
      </c>
      <c r="W114" s="42">
        <f t="shared" si="63"/>
        <v>21</v>
      </c>
      <c r="X114" s="42">
        <f t="shared" si="63"/>
        <v>5</v>
      </c>
    </row>
    <row r="115" spans="1:24" s="23" customFormat="1" ht="16.5" customHeight="1" x14ac:dyDescent="0.25">
      <c r="A115" s="57" t="s">
        <v>54</v>
      </c>
      <c r="B115" s="58"/>
      <c r="C115" s="58"/>
      <c r="D115" s="58"/>
      <c r="E115" s="58"/>
      <c r="F115" s="58"/>
      <c r="G115" s="58"/>
      <c r="H115" s="58"/>
      <c r="I115" s="58"/>
      <c r="J115" s="58"/>
      <c r="K115" s="58"/>
      <c r="L115" s="58"/>
      <c r="M115" s="58"/>
      <c r="N115" s="58"/>
      <c r="O115" s="58"/>
      <c r="P115" s="58"/>
      <c r="Q115" s="58"/>
      <c r="R115" s="58"/>
      <c r="S115" s="58"/>
      <c r="T115" s="58"/>
      <c r="U115" s="58"/>
      <c r="V115" s="58"/>
      <c r="W115" s="58"/>
      <c r="X115" s="59"/>
    </row>
    <row r="116" spans="1:24" ht="30.75" customHeight="1" x14ac:dyDescent="0.25">
      <c r="A116" s="37" t="s">
        <v>0</v>
      </c>
      <c r="B116" s="4" t="s">
        <v>10</v>
      </c>
      <c r="C116" s="37">
        <v>14.3</v>
      </c>
      <c r="D116" s="37">
        <v>12.9</v>
      </c>
      <c r="E116" s="37">
        <v>12.9</v>
      </c>
      <c r="F116" s="37">
        <v>25</v>
      </c>
      <c r="G116" s="37">
        <v>21</v>
      </c>
      <c r="H116" s="37">
        <v>3</v>
      </c>
      <c r="I116" s="38">
        <f>F116/C116</f>
        <v>1.7482517482517481</v>
      </c>
      <c r="J116" s="38">
        <f>G116/D116</f>
        <v>1.6279069767441861</v>
      </c>
      <c r="K116" s="38">
        <f>H116/E116</f>
        <v>0.23255813953488372</v>
      </c>
      <c r="L116" s="36">
        <f t="shared" ref="L116:L130" si="64">M116*100/H116</f>
        <v>33.333333333333336</v>
      </c>
      <c r="M116" s="37">
        <v>1</v>
      </c>
      <c r="N116" s="7"/>
      <c r="O116" s="39">
        <v>0</v>
      </c>
      <c r="P116" s="39">
        <v>1</v>
      </c>
      <c r="Q116" s="39">
        <v>0</v>
      </c>
      <c r="R116" s="29">
        <v>1</v>
      </c>
      <c r="S116" s="6">
        <v>0</v>
      </c>
      <c r="T116" s="6">
        <v>1</v>
      </c>
      <c r="U116" s="6">
        <v>0</v>
      </c>
      <c r="V116" s="37">
        <v>0</v>
      </c>
      <c r="W116" s="37">
        <v>1</v>
      </c>
      <c r="X116" s="37">
        <v>0</v>
      </c>
    </row>
    <row r="117" spans="1:24" ht="42" customHeight="1" x14ac:dyDescent="0.25">
      <c r="A117" s="37" t="s">
        <v>97</v>
      </c>
      <c r="B117" s="4" t="s">
        <v>34</v>
      </c>
      <c r="C117" s="37">
        <v>111.7</v>
      </c>
      <c r="D117" s="37">
        <v>111.7</v>
      </c>
      <c r="E117" s="37">
        <v>111.7</v>
      </c>
      <c r="F117" s="37">
        <v>215</v>
      </c>
      <c r="G117" s="37">
        <v>186</v>
      </c>
      <c r="H117" s="37">
        <v>26</v>
      </c>
      <c r="I117" s="38">
        <f t="shared" ref="I117:I129" si="65">F117/C117</f>
        <v>1.9247985675917636</v>
      </c>
      <c r="J117" s="38">
        <f t="shared" ref="J117:J129" si="66">G117/D117</f>
        <v>1.6651745747538047</v>
      </c>
      <c r="K117" s="38">
        <f t="shared" ref="K117:K129" si="67">H117/E117</f>
        <v>0.23276633840644584</v>
      </c>
      <c r="L117" s="36">
        <f t="shared" si="64"/>
        <v>34.615384615384613</v>
      </c>
      <c r="M117" s="37">
        <v>9</v>
      </c>
      <c r="N117" s="7"/>
      <c r="O117" s="39">
        <v>2</v>
      </c>
      <c r="P117" s="39">
        <v>6</v>
      </c>
      <c r="Q117" s="39">
        <v>1</v>
      </c>
      <c r="R117" s="29">
        <v>5</v>
      </c>
      <c r="S117" s="6">
        <v>3</v>
      </c>
      <c r="T117" s="6">
        <v>6</v>
      </c>
      <c r="U117" s="6">
        <v>2</v>
      </c>
      <c r="V117" s="37">
        <v>2</v>
      </c>
      <c r="W117" s="37">
        <v>6</v>
      </c>
      <c r="X117" s="37">
        <v>1</v>
      </c>
    </row>
    <row r="118" spans="1:24" ht="36.75" customHeight="1" x14ac:dyDescent="0.25">
      <c r="A118" s="37" t="s">
        <v>68</v>
      </c>
      <c r="B118" s="4" t="s">
        <v>36</v>
      </c>
      <c r="C118" s="37">
        <v>194</v>
      </c>
      <c r="D118" s="5">
        <v>194</v>
      </c>
      <c r="E118" s="5">
        <v>194</v>
      </c>
      <c r="F118" s="37">
        <v>373</v>
      </c>
      <c r="G118" s="37">
        <v>323</v>
      </c>
      <c r="H118" s="37">
        <v>44</v>
      </c>
      <c r="I118" s="38">
        <f t="shared" si="65"/>
        <v>1.9226804123711341</v>
      </c>
      <c r="J118" s="38">
        <f t="shared" si="66"/>
        <v>1.6649484536082475</v>
      </c>
      <c r="K118" s="38">
        <f t="shared" si="67"/>
        <v>0.22680412371134021</v>
      </c>
      <c r="L118" s="36">
        <f t="shared" si="64"/>
        <v>36.363636363636367</v>
      </c>
      <c r="M118" s="37">
        <v>16</v>
      </c>
      <c r="N118" s="7"/>
      <c r="O118" s="39">
        <v>3</v>
      </c>
      <c r="P118" s="39">
        <v>10</v>
      </c>
      <c r="Q118" s="39">
        <v>3</v>
      </c>
      <c r="R118" s="29">
        <v>10</v>
      </c>
      <c r="S118" s="6">
        <v>3</v>
      </c>
      <c r="T118" s="6">
        <v>12</v>
      </c>
      <c r="U118" s="6">
        <v>3</v>
      </c>
      <c r="V118" s="37">
        <v>3</v>
      </c>
      <c r="W118" s="37">
        <v>10</v>
      </c>
      <c r="X118" s="37">
        <v>3</v>
      </c>
    </row>
    <row r="119" spans="1:24" ht="31.5" customHeight="1" x14ac:dyDescent="0.25">
      <c r="A119" s="37" t="s">
        <v>67</v>
      </c>
      <c r="B119" s="4" t="s">
        <v>37</v>
      </c>
      <c r="C119" s="37">
        <v>87.8</v>
      </c>
      <c r="D119" s="37">
        <v>87.8</v>
      </c>
      <c r="E119" s="37">
        <v>87.8</v>
      </c>
      <c r="F119" s="37">
        <v>169</v>
      </c>
      <c r="G119" s="37">
        <v>146</v>
      </c>
      <c r="H119" s="37">
        <v>20</v>
      </c>
      <c r="I119" s="38">
        <f t="shared" si="65"/>
        <v>1.9248291571753986</v>
      </c>
      <c r="J119" s="38">
        <f t="shared" si="66"/>
        <v>1.6628701594533031</v>
      </c>
      <c r="K119" s="38">
        <f t="shared" si="67"/>
        <v>0.22779043280182232</v>
      </c>
      <c r="L119" s="36">
        <f t="shared" si="64"/>
        <v>35</v>
      </c>
      <c r="M119" s="37">
        <v>7</v>
      </c>
      <c r="N119" s="7"/>
      <c r="O119" s="39">
        <v>1</v>
      </c>
      <c r="P119" s="39">
        <v>5</v>
      </c>
      <c r="Q119" s="39">
        <v>1</v>
      </c>
      <c r="R119" s="29">
        <v>5</v>
      </c>
      <c r="S119" s="6">
        <v>1</v>
      </c>
      <c r="T119" s="6">
        <v>6</v>
      </c>
      <c r="U119" s="6">
        <v>1</v>
      </c>
      <c r="V119" s="37">
        <v>1</v>
      </c>
      <c r="W119" s="37">
        <v>5</v>
      </c>
      <c r="X119" s="37">
        <v>1</v>
      </c>
    </row>
    <row r="120" spans="1:24" ht="30" customHeight="1" x14ac:dyDescent="0.25">
      <c r="A120" s="37" t="s">
        <v>70</v>
      </c>
      <c r="B120" s="4" t="s">
        <v>38</v>
      </c>
      <c r="C120" s="37">
        <v>56.3</v>
      </c>
      <c r="D120" s="37">
        <v>56.3</v>
      </c>
      <c r="E120" s="37">
        <v>56.3</v>
      </c>
      <c r="F120" s="37">
        <v>108</v>
      </c>
      <c r="G120" s="37">
        <v>94</v>
      </c>
      <c r="H120" s="37">
        <v>14</v>
      </c>
      <c r="I120" s="38">
        <f t="shared" si="65"/>
        <v>1.9182948490230907</v>
      </c>
      <c r="J120" s="38">
        <f t="shared" si="66"/>
        <v>1.6696269982238012</v>
      </c>
      <c r="K120" s="38">
        <f t="shared" si="67"/>
        <v>0.24866785079928952</v>
      </c>
      <c r="L120" s="36">
        <f t="shared" si="64"/>
        <v>28.571428571428573</v>
      </c>
      <c r="M120" s="37">
        <v>4</v>
      </c>
      <c r="N120" s="7"/>
      <c r="O120" s="39">
        <v>1</v>
      </c>
      <c r="P120" s="39">
        <v>3</v>
      </c>
      <c r="Q120" s="39">
        <v>0</v>
      </c>
      <c r="R120" s="29">
        <v>9</v>
      </c>
      <c r="S120" s="6">
        <v>3</v>
      </c>
      <c r="T120" s="6">
        <v>12</v>
      </c>
      <c r="U120" s="6">
        <v>1</v>
      </c>
      <c r="V120" s="37">
        <v>1</v>
      </c>
      <c r="W120" s="37">
        <v>3</v>
      </c>
      <c r="X120" s="37">
        <v>0</v>
      </c>
    </row>
    <row r="121" spans="1:24" ht="30.75" customHeight="1" x14ac:dyDescent="0.25">
      <c r="A121" s="37" t="s">
        <v>89</v>
      </c>
      <c r="B121" s="4" t="s">
        <v>39</v>
      </c>
      <c r="C121" s="37">
        <v>44.1</v>
      </c>
      <c r="D121" s="37">
        <v>44.1</v>
      </c>
      <c r="E121" s="37">
        <v>44.1</v>
      </c>
      <c r="F121" s="37">
        <v>85</v>
      </c>
      <c r="G121" s="37">
        <v>73</v>
      </c>
      <c r="H121" s="37">
        <v>10</v>
      </c>
      <c r="I121" s="38">
        <f t="shared" si="65"/>
        <v>1.9274376417233559</v>
      </c>
      <c r="J121" s="38">
        <f t="shared" si="66"/>
        <v>1.655328798185941</v>
      </c>
      <c r="K121" s="38">
        <f t="shared" si="67"/>
        <v>0.22675736961451246</v>
      </c>
      <c r="L121" s="36">
        <f t="shared" si="64"/>
        <v>30</v>
      </c>
      <c r="M121" s="37">
        <v>3</v>
      </c>
      <c r="N121" s="7"/>
      <c r="O121" s="39">
        <v>0</v>
      </c>
      <c r="P121" s="39">
        <v>3</v>
      </c>
      <c r="Q121" s="39">
        <v>0</v>
      </c>
      <c r="R121" s="29">
        <v>2</v>
      </c>
      <c r="S121" s="6">
        <v>1</v>
      </c>
      <c r="T121" s="6">
        <v>4</v>
      </c>
      <c r="U121" s="6">
        <v>0</v>
      </c>
      <c r="V121" s="37">
        <v>0</v>
      </c>
      <c r="W121" s="37">
        <v>3</v>
      </c>
      <c r="X121" s="37">
        <v>0</v>
      </c>
    </row>
    <row r="122" spans="1:24" ht="29.25" customHeight="1" x14ac:dyDescent="0.25">
      <c r="A122" s="37" t="s">
        <v>93</v>
      </c>
      <c r="B122" s="4" t="s">
        <v>111</v>
      </c>
      <c r="C122" s="37">
        <v>24.2</v>
      </c>
      <c r="D122" s="37">
        <v>24.2</v>
      </c>
      <c r="E122" s="37">
        <v>30.3</v>
      </c>
      <c r="F122" s="37">
        <v>46</v>
      </c>
      <c r="G122" s="37">
        <v>40</v>
      </c>
      <c r="H122" s="37">
        <v>7</v>
      </c>
      <c r="I122" s="38">
        <f t="shared" si="65"/>
        <v>1.9008264462809918</v>
      </c>
      <c r="J122" s="38">
        <f t="shared" si="66"/>
        <v>1.6528925619834711</v>
      </c>
      <c r="K122" s="38">
        <f t="shared" si="67"/>
        <v>0.23102310231023102</v>
      </c>
      <c r="L122" s="36">
        <f t="shared" si="64"/>
        <v>28.571428571428573</v>
      </c>
      <c r="M122" s="37">
        <v>2</v>
      </c>
      <c r="N122" s="7"/>
      <c r="O122" s="39">
        <v>0</v>
      </c>
      <c r="P122" s="39">
        <v>2</v>
      </c>
      <c r="Q122" s="39">
        <v>0</v>
      </c>
      <c r="R122" s="60">
        <v>5</v>
      </c>
      <c r="S122" s="6">
        <v>1</v>
      </c>
      <c r="T122" s="6">
        <v>2</v>
      </c>
      <c r="U122" s="6">
        <v>0</v>
      </c>
      <c r="V122" s="37">
        <v>0</v>
      </c>
      <c r="W122" s="37">
        <v>2</v>
      </c>
      <c r="X122" s="37">
        <v>0</v>
      </c>
    </row>
    <row r="123" spans="1:24" ht="30" customHeight="1" x14ac:dyDescent="0.25">
      <c r="A123" s="37" t="s">
        <v>80</v>
      </c>
      <c r="B123" s="4" t="s">
        <v>111</v>
      </c>
      <c r="C123" s="37"/>
      <c r="D123" s="37">
        <v>35.6</v>
      </c>
      <c r="E123" s="37">
        <v>35.6</v>
      </c>
      <c r="F123" s="37"/>
      <c r="G123" s="37">
        <v>59</v>
      </c>
      <c r="H123" s="37">
        <v>8</v>
      </c>
      <c r="I123" s="38"/>
      <c r="J123" s="38">
        <f t="shared" si="66"/>
        <v>1.6573033707865168</v>
      </c>
      <c r="K123" s="38">
        <f t="shared" si="67"/>
        <v>0.2247191011235955</v>
      </c>
      <c r="L123" s="36">
        <f t="shared" si="64"/>
        <v>37.5</v>
      </c>
      <c r="M123" s="37">
        <v>3</v>
      </c>
      <c r="N123" s="7"/>
      <c r="O123" s="39">
        <v>0</v>
      </c>
      <c r="P123" s="39">
        <v>2</v>
      </c>
      <c r="Q123" s="39">
        <v>0</v>
      </c>
      <c r="R123" s="60"/>
      <c r="S123" s="6"/>
      <c r="T123" s="6"/>
      <c r="U123" s="6"/>
      <c r="V123" s="37">
        <v>0</v>
      </c>
      <c r="W123" s="37">
        <v>3</v>
      </c>
      <c r="X123" s="37">
        <v>0</v>
      </c>
    </row>
    <row r="124" spans="1:24" ht="29.25" customHeight="1" x14ac:dyDescent="0.25">
      <c r="A124" s="37" t="s">
        <v>81</v>
      </c>
      <c r="B124" s="4" t="s">
        <v>111</v>
      </c>
      <c r="C124" s="37"/>
      <c r="D124" s="4"/>
      <c r="E124" s="37">
        <v>62.96</v>
      </c>
      <c r="F124" s="37"/>
      <c r="G124" s="37"/>
      <c r="H124" s="37">
        <v>15</v>
      </c>
      <c r="I124" s="38"/>
      <c r="J124" s="38"/>
      <c r="K124" s="38">
        <f t="shared" si="67"/>
        <v>0.23824650571791614</v>
      </c>
      <c r="L124" s="36">
        <f t="shared" si="64"/>
        <v>33.333333333333336</v>
      </c>
      <c r="M124" s="37">
        <v>5</v>
      </c>
      <c r="N124" s="7"/>
      <c r="O124" s="39"/>
      <c r="P124" s="39"/>
      <c r="Q124" s="39"/>
      <c r="R124" s="60"/>
      <c r="S124" s="6"/>
      <c r="T124" s="6"/>
      <c r="U124" s="6"/>
      <c r="V124" s="37">
        <v>1</v>
      </c>
      <c r="W124" s="37">
        <v>3</v>
      </c>
      <c r="X124" s="37">
        <v>1</v>
      </c>
    </row>
    <row r="125" spans="1:24" ht="30.75" customHeight="1" x14ac:dyDescent="0.25">
      <c r="A125" s="37" t="s">
        <v>7</v>
      </c>
      <c r="B125" s="4" t="s">
        <v>25</v>
      </c>
      <c r="C125" s="37">
        <v>65.7</v>
      </c>
      <c r="D125" s="37">
        <v>65.7</v>
      </c>
      <c r="E125" s="37">
        <v>65.7</v>
      </c>
      <c r="F125" s="37">
        <v>126</v>
      </c>
      <c r="G125" s="37">
        <v>109</v>
      </c>
      <c r="H125" s="37">
        <v>15</v>
      </c>
      <c r="I125" s="38">
        <f t="shared" si="65"/>
        <v>1.9178082191780821</v>
      </c>
      <c r="J125" s="38">
        <f t="shared" si="66"/>
        <v>1.6590563165905632</v>
      </c>
      <c r="K125" s="38">
        <f t="shared" si="67"/>
        <v>0.22831050228310501</v>
      </c>
      <c r="L125" s="36">
        <f t="shared" si="64"/>
        <v>33.333333333333336</v>
      </c>
      <c r="M125" s="37">
        <v>5</v>
      </c>
      <c r="N125" s="7"/>
      <c r="O125" s="39">
        <v>1</v>
      </c>
      <c r="P125" s="39">
        <v>3</v>
      </c>
      <c r="Q125" s="39">
        <v>1</v>
      </c>
      <c r="R125" s="29">
        <v>3</v>
      </c>
      <c r="S125" s="6">
        <v>1</v>
      </c>
      <c r="T125" s="6">
        <v>5</v>
      </c>
      <c r="U125" s="6">
        <v>1</v>
      </c>
      <c r="V125" s="37">
        <v>1</v>
      </c>
      <c r="W125" s="37">
        <v>3</v>
      </c>
      <c r="X125" s="37">
        <v>1</v>
      </c>
    </row>
    <row r="126" spans="1:24" ht="27.75" customHeight="1" x14ac:dyDescent="0.25">
      <c r="A126" s="37" t="s">
        <v>82</v>
      </c>
      <c r="B126" s="4" t="s">
        <v>40</v>
      </c>
      <c r="C126" s="37">
        <v>30.4</v>
      </c>
      <c r="D126" s="37">
        <v>30.4</v>
      </c>
      <c r="E126" s="37">
        <v>30.4</v>
      </c>
      <c r="F126" s="37">
        <v>58</v>
      </c>
      <c r="G126" s="37">
        <v>51</v>
      </c>
      <c r="H126" s="37">
        <v>7</v>
      </c>
      <c r="I126" s="38">
        <f t="shared" si="65"/>
        <v>1.9078947368421053</v>
      </c>
      <c r="J126" s="38">
        <f t="shared" si="66"/>
        <v>1.6776315789473686</v>
      </c>
      <c r="K126" s="38">
        <f t="shared" si="67"/>
        <v>0.23026315789473686</v>
      </c>
      <c r="L126" s="36">
        <f t="shared" si="64"/>
        <v>28.571428571428573</v>
      </c>
      <c r="M126" s="37">
        <v>2</v>
      </c>
      <c r="N126" s="7"/>
      <c r="O126" s="39">
        <v>0</v>
      </c>
      <c r="P126" s="39">
        <v>2</v>
      </c>
      <c r="Q126" s="39">
        <v>0</v>
      </c>
      <c r="R126" s="29">
        <v>2</v>
      </c>
      <c r="S126" s="6">
        <v>0</v>
      </c>
      <c r="T126" s="6">
        <v>2</v>
      </c>
      <c r="U126" s="6">
        <v>0</v>
      </c>
      <c r="V126" s="37">
        <v>0</v>
      </c>
      <c r="W126" s="37">
        <v>2</v>
      </c>
      <c r="X126" s="37">
        <v>0</v>
      </c>
    </row>
    <row r="127" spans="1:24" ht="25.5" customHeight="1" x14ac:dyDescent="0.25">
      <c r="A127" s="37" t="s">
        <v>83</v>
      </c>
      <c r="B127" s="4" t="s">
        <v>103</v>
      </c>
      <c r="C127" s="37"/>
      <c r="D127" s="37">
        <v>99.8</v>
      </c>
      <c r="E127" s="37">
        <v>99.8</v>
      </c>
      <c r="F127" s="37"/>
      <c r="G127" s="37">
        <v>166</v>
      </c>
      <c r="H127" s="37">
        <v>23</v>
      </c>
      <c r="I127" s="38"/>
      <c r="J127" s="38">
        <f t="shared" si="66"/>
        <v>1.6633266533066133</v>
      </c>
      <c r="K127" s="38">
        <f t="shared" si="67"/>
        <v>0.23046092184368738</v>
      </c>
      <c r="L127" s="36">
        <f t="shared" si="64"/>
        <v>34.782608695652172</v>
      </c>
      <c r="M127" s="37">
        <v>8</v>
      </c>
      <c r="N127" s="7"/>
      <c r="O127" s="39">
        <v>2</v>
      </c>
      <c r="P127" s="39">
        <v>5</v>
      </c>
      <c r="Q127" s="39">
        <v>1</v>
      </c>
      <c r="R127" s="29">
        <v>3</v>
      </c>
      <c r="S127" s="6"/>
      <c r="T127" s="6"/>
      <c r="U127" s="6"/>
      <c r="V127" s="37">
        <v>2</v>
      </c>
      <c r="W127" s="37">
        <v>5</v>
      </c>
      <c r="X127" s="37">
        <v>1</v>
      </c>
    </row>
    <row r="128" spans="1:24" ht="19.5" customHeight="1" x14ac:dyDescent="0.25">
      <c r="A128" s="37" t="s">
        <v>115</v>
      </c>
      <c r="B128" s="4" t="s">
        <v>14</v>
      </c>
      <c r="C128" s="37">
        <f>C129--C116-C117-C118-C119-C120-C121-C122-C125-C126</f>
        <v>709.3</v>
      </c>
      <c r="D128" s="5">
        <f>D129-D116-D117-D118-D119-D120-D121-D122-D123-D125-D126</f>
        <v>646.49999999999989</v>
      </c>
      <c r="E128" s="37">
        <v>546.70000000000005</v>
      </c>
      <c r="F128" s="37">
        <f>F129--F116-F117-F118-F119-F120-F121-F122-F125-F126</f>
        <v>1360</v>
      </c>
      <c r="G128" s="37">
        <f>G129-G116-G117-G118-G119-G120-G121-G122-G123-G125-G126-G127</f>
        <v>913</v>
      </c>
      <c r="H128" s="37" t="e">
        <f>H129-H116-H117-H118-H119-H120-H121-H122-H123-H125-H126-H127-#REF!</f>
        <v>#REF!</v>
      </c>
      <c r="I128" s="38">
        <f t="shared" si="65"/>
        <v>1.9173833356830678</v>
      </c>
      <c r="J128" s="38">
        <f t="shared" si="66"/>
        <v>1.412219644238206</v>
      </c>
      <c r="K128" s="38" t="e">
        <f t="shared" si="67"/>
        <v>#REF!</v>
      </c>
      <c r="L128" s="36" t="e">
        <f t="shared" si="64"/>
        <v>#REF!</v>
      </c>
      <c r="M128" s="14">
        <v>36</v>
      </c>
      <c r="N128" s="15"/>
      <c r="O128" s="16">
        <v>5</v>
      </c>
      <c r="P128" s="16">
        <v>31</v>
      </c>
      <c r="Q128" s="39">
        <v>9</v>
      </c>
      <c r="R128" s="6"/>
      <c r="S128" s="6"/>
      <c r="T128" s="6"/>
      <c r="U128" s="6"/>
      <c r="V128" s="37">
        <v>5</v>
      </c>
      <c r="W128" s="37">
        <v>24</v>
      </c>
      <c r="X128" s="37">
        <v>7</v>
      </c>
    </row>
    <row r="129" spans="1:24" s="23" customFormat="1" x14ac:dyDescent="0.25">
      <c r="A129" s="52" t="s">
        <v>78</v>
      </c>
      <c r="B129" s="52"/>
      <c r="C129" s="42">
        <v>1309.2</v>
      </c>
      <c r="D129" s="42">
        <v>1309.2</v>
      </c>
      <c r="E129" s="42">
        <v>1309.2</v>
      </c>
      <c r="F129" s="42">
        <v>2515</v>
      </c>
      <c r="G129" s="42">
        <v>2181</v>
      </c>
      <c r="H129" s="42">
        <v>300</v>
      </c>
      <c r="I129" s="18">
        <f t="shared" si="65"/>
        <v>1.9210204705163458</v>
      </c>
      <c r="J129" s="18">
        <f t="shared" si="66"/>
        <v>1.6659028414298809</v>
      </c>
      <c r="K129" s="18">
        <f t="shared" si="67"/>
        <v>0.22914757103574701</v>
      </c>
      <c r="L129" s="24">
        <f t="shared" si="64"/>
        <v>33.666666666666664</v>
      </c>
      <c r="M129" s="42">
        <f>SUM(M116:M128)</f>
        <v>101</v>
      </c>
      <c r="N129" s="19">
        <v>0</v>
      </c>
      <c r="O129" s="42">
        <f>SUM(O116:O128)</f>
        <v>15</v>
      </c>
      <c r="P129" s="42">
        <f>SUM(P116:P128)</f>
        <v>73</v>
      </c>
      <c r="Q129" s="42">
        <f>SUM(Q116:Q128)</f>
        <v>16</v>
      </c>
      <c r="R129" s="6">
        <f>SUM(O129:Q129)</f>
        <v>104</v>
      </c>
      <c r="S129" s="6"/>
      <c r="T129" s="6"/>
      <c r="U129" s="6"/>
      <c r="V129" s="42">
        <f t="shared" ref="V129:X129" si="68">SUM(V116:V128)</f>
        <v>16</v>
      </c>
      <c r="W129" s="42">
        <f t="shared" si="68"/>
        <v>70</v>
      </c>
      <c r="X129" s="42">
        <f t="shared" si="68"/>
        <v>15</v>
      </c>
    </row>
    <row r="130" spans="1:24" s="23" customFormat="1" x14ac:dyDescent="0.25">
      <c r="A130" s="52" t="s">
        <v>15</v>
      </c>
      <c r="B130" s="52"/>
      <c r="C130" s="42" t="e">
        <f>SUM(C20,C26,C29,C36,C39,C45,C50,C57,C64,C72,C82,C89,C105,#REF!,C109,C114,C129)</f>
        <v>#REF!</v>
      </c>
      <c r="D130" s="42">
        <v>13603.7</v>
      </c>
      <c r="E130" s="17" t="e">
        <f>SUM(E20,E26,E29,E36,E39,E45,E50,E57,E64,E72,E82,E89,E105,#REF!,E109,E114,E129)</f>
        <v>#REF!</v>
      </c>
      <c r="F130" s="42" t="e">
        <f>SUM(F20,F26,F29,F36,F39,F45,F50,F57,F64,F72,F82,F89,F105,#REF!,F109,F114,F129)</f>
        <v>#REF!</v>
      </c>
      <c r="G130" s="42">
        <v>21536</v>
      </c>
      <c r="H130" s="19" t="e">
        <f>SUM(H20,H26,H29,H36,H39,H45,H50,H57,H64,H72,H82,H89,H105,#REF!,H109,H114,H129)</f>
        <v>#REF!</v>
      </c>
      <c r="I130" s="18" t="e">
        <f t="shared" ref="I130" si="69">F130/C130</f>
        <v>#REF!</v>
      </c>
      <c r="J130" s="18">
        <f t="shared" ref="J130" si="70">G130/D130</f>
        <v>1.5830987157905569</v>
      </c>
      <c r="K130" s="18" t="e">
        <f t="shared" ref="K130" si="71">H130/E130</f>
        <v>#REF!</v>
      </c>
      <c r="L130" s="24" t="e">
        <f t="shared" si="64"/>
        <v>#REF!</v>
      </c>
      <c r="M130" s="19">
        <f>M20+M26+M29+M36+M39+M45+M50+M57+M64+M72+M82+M89+M105+M100+M109+M114+M129</f>
        <v>910.15</v>
      </c>
      <c r="N130" s="19">
        <v>0</v>
      </c>
      <c r="O130" s="42" t="e">
        <f>SUM(O20,O26,O29,O36,O39,O45,O50,O57,O64,O72,O82,O89,O105,#REF!,O109,O114,O129)</f>
        <v>#REF!</v>
      </c>
      <c r="P130" s="42" t="e">
        <f>SUM(P20,P26,P29,P36,P39,P45,P50,P57,P64,P72,P82,P89,P105,#REF!,P109,P114,P129)</f>
        <v>#REF!</v>
      </c>
      <c r="Q130" s="42" t="e">
        <f>SUM(Q20,Q26,Q29,Q36,Q39,Q45,Q50,Q57,Q64,Q72,Q82,Q89,Q105,#REF!,Q109,Q114,Q129)</f>
        <v>#REF!</v>
      </c>
      <c r="R130" s="6" t="e">
        <f>SUM(O130:Q130)</f>
        <v>#REF!</v>
      </c>
      <c r="S130" s="6"/>
      <c r="T130" s="6"/>
      <c r="U130" s="6"/>
      <c r="V130" s="19">
        <f t="shared" ref="V130:X130" si="72">V20+V26+V29+V36+V39+V45+V50+V57+V64+V72+V82+V89+V105+V100+V109+V114+V129</f>
        <v>124</v>
      </c>
      <c r="W130" s="19">
        <f t="shared" si="72"/>
        <v>634</v>
      </c>
      <c r="X130" s="19">
        <f t="shared" si="72"/>
        <v>152</v>
      </c>
    </row>
    <row r="131" spans="1:24" ht="7.5" customHeight="1" x14ac:dyDescent="0.25"/>
    <row r="132" spans="1:24" x14ac:dyDescent="0.25">
      <c r="K132" s="12"/>
      <c r="L132" s="27"/>
      <c r="M132" s="27"/>
      <c r="O132" s="1" t="s">
        <v>98</v>
      </c>
    </row>
    <row r="133" spans="1:24" x14ac:dyDescent="0.25">
      <c r="K133" s="12"/>
      <c r="L133" s="40"/>
      <c r="M133" s="40"/>
    </row>
  </sheetData>
  <mergeCells count="67">
    <mergeCell ref="J2:M2"/>
    <mergeCell ref="J1:M1"/>
    <mergeCell ref="N11:Q11"/>
    <mergeCell ref="C9:E12"/>
    <mergeCell ref="F9:H12"/>
    <mergeCell ref="P12:P13"/>
    <mergeCell ref="O12:O13"/>
    <mergeCell ref="J3:M3"/>
    <mergeCell ref="A5:X5"/>
    <mergeCell ref="A6:X6"/>
    <mergeCell ref="A7:X7"/>
    <mergeCell ref="V1:X1"/>
    <mergeCell ref="V2:X2"/>
    <mergeCell ref="V3:X3"/>
    <mergeCell ref="V4:X4"/>
    <mergeCell ref="V10:X10"/>
    <mergeCell ref="A50:B50"/>
    <mergeCell ref="A57:B57"/>
    <mergeCell ref="A64:B64"/>
    <mergeCell ref="A20:B20"/>
    <mergeCell ref="A29:B29"/>
    <mergeCell ref="A26:B26"/>
    <mergeCell ref="A51:X51"/>
    <mergeCell ref="A58:X58"/>
    <mergeCell ref="R11:R13"/>
    <mergeCell ref="A46:Q46"/>
    <mergeCell ref="A45:B45"/>
    <mergeCell ref="A36:B36"/>
    <mergeCell ref="A16:X16"/>
    <mergeCell ref="S11:U11"/>
    <mergeCell ref="N12:N13"/>
    <mergeCell ref="A9:A13"/>
    <mergeCell ref="M9:X9"/>
    <mergeCell ref="V11:W11"/>
    <mergeCell ref="X11:X12"/>
    <mergeCell ref="M10:M12"/>
    <mergeCell ref="C14:E14"/>
    <mergeCell ref="F14:H14"/>
    <mergeCell ref="I14:K14"/>
    <mergeCell ref="B9:B13"/>
    <mergeCell ref="A65:X65"/>
    <mergeCell ref="R122:R124"/>
    <mergeCell ref="R67:R68"/>
    <mergeCell ref="A72:B72"/>
    <mergeCell ref="A110:X110"/>
    <mergeCell ref="A115:X115"/>
    <mergeCell ref="A73:X73"/>
    <mergeCell ref="A83:X83"/>
    <mergeCell ref="A90:X90"/>
    <mergeCell ref="A101:X101"/>
    <mergeCell ref="A106:X106"/>
    <mergeCell ref="A130:B130"/>
    <mergeCell ref="Q12:Q13"/>
    <mergeCell ref="A129:B129"/>
    <mergeCell ref="A89:B89"/>
    <mergeCell ref="A114:B114"/>
    <mergeCell ref="A105:B105"/>
    <mergeCell ref="A82:B82"/>
    <mergeCell ref="A109:B109"/>
    <mergeCell ref="I9:K12"/>
    <mergeCell ref="A39:B39"/>
    <mergeCell ref="A100:B100"/>
    <mergeCell ref="A21:X21"/>
    <mergeCell ref="A27:X27"/>
    <mergeCell ref="A30:X30"/>
    <mergeCell ref="A37:X37"/>
    <mergeCell ref="A40:X40"/>
  </mergeCells>
  <phoneticPr fontId="5" type="noConversion"/>
  <pageMargins left="0.31496062992125984" right="0.19685039370078741" top="0.39370078740157483" bottom="0.35433070866141736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лось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2017-07-29T11:09:13Z</dcterms:modified>
</cp:coreProperties>
</file>